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lerj\Downloads\"/>
    </mc:Choice>
  </mc:AlternateContent>
  <bookViews>
    <workbookView xWindow="0" yWindow="252" windowWidth="13188" windowHeight="6852"/>
  </bookViews>
  <sheets>
    <sheet name="English Units" sheetId="1" r:id="rId1"/>
    <sheet name="Espanol" sheetId="6" r:id="rId2"/>
    <sheet name="Metric Units" sheetId="3" r:id="rId3"/>
    <sheet name="Español - (unidades métricas)" sheetId="5" r:id="rId4"/>
  </sheets>
  <calcPr calcId="162913"/>
</workbook>
</file>

<file path=xl/calcChain.xml><?xml version="1.0" encoding="utf-8"?>
<calcChain xmlns="http://schemas.openxmlformats.org/spreadsheetml/2006/main">
  <c r="F36" i="6" l="1"/>
  <c r="F30" i="6"/>
  <c r="F23" i="6"/>
  <c r="I22" i="6"/>
  <c r="G22" i="6"/>
  <c r="N35" i="6"/>
  <c r="I21" i="6"/>
  <c r="G21" i="6"/>
  <c r="N33" i="6" s="1"/>
  <c r="N34" i="6"/>
  <c r="K20" i="6"/>
  <c r="F8" i="6" s="1"/>
  <c r="I20" i="6"/>
  <c r="G20" i="6"/>
  <c r="M33" i="6"/>
  <c r="L19" i="6"/>
  <c r="I19" i="6"/>
  <c r="G19" i="6"/>
  <c r="K35" i="6" s="1"/>
  <c r="M35" i="6"/>
  <c r="F16" i="6"/>
  <c r="F14" i="6"/>
  <c r="I11" i="6"/>
  <c r="L4" i="6"/>
  <c r="A4" i="6"/>
  <c r="G19" i="1"/>
  <c r="M32" i="1" s="1"/>
  <c r="K32" i="1"/>
  <c r="G20" i="1"/>
  <c r="N33" i="1" s="1"/>
  <c r="G21" i="1"/>
  <c r="M34" i="1" s="1"/>
  <c r="N34" i="1"/>
  <c r="G22" i="1"/>
  <c r="N35" i="1"/>
  <c r="L33" i="1"/>
  <c r="K20" i="1"/>
  <c r="F8" i="1"/>
  <c r="F24" i="1"/>
  <c r="F36" i="1"/>
  <c r="F30" i="1"/>
  <c r="L19" i="1"/>
  <c r="L4" i="1"/>
  <c r="I11" i="1"/>
  <c r="A4" i="1"/>
  <c r="A3" i="1"/>
  <c r="F14" i="1"/>
  <c r="F16" i="1"/>
  <c r="I19" i="1"/>
  <c r="I20" i="1"/>
  <c r="I21" i="1"/>
  <c r="I22" i="1"/>
  <c r="F23" i="1"/>
  <c r="H22" i="5"/>
  <c r="C10" i="5"/>
  <c r="E16" i="5"/>
  <c r="K30" i="5"/>
  <c r="E17" i="5"/>
  <c r="N31" i="5" s="1"/>
  <c r="M31" i="5"/>
  <c r="E18" i="5"/>
  <c r="M32" i="5" s="1"/>
  <c r="E19" i="5"/>
  <c r="N33" i="5" s="1"/>
  <c r="L31" i="5"/>
  <c r="N32" i="5"/>
  <c r="L33" i="5"/>
  <c r="C31" i="5"/>
  <c r="C26" i="5"/>
  <c r="L16" i="5"/>
  <c r="H10" i="5"/>
  <c r="L6" i="5"/>
  <c r="G13" i="5"/>
  <c r="G14" i="5"/>
  <c r="G19" i="5"/>
  <c r="G18" i="5"/>
  <c r="G17" i="5"/>
  <c r="G16" i="5"/>
  <c r="B8" i="5"/>
  <c r="C21" i="5"/>
  <c r="G19" i="3"/>
  <c r="L32" i="3" s="1"/>
  <c r="K32" i="3"/>
  <c r="G20" i="3"/>
  <c r="L33" i="3" s="1"/>
  <c r="G21" i="3"/>
  <c r="M34" i="3"/>
  <c r="G22" i="3"/>
  <c r="N35" i="3"/>
  <c r="M33" i="3"/>
  <c r="N34" i="3"/>
  <c r="K20" i="3"/>
  <c r="F8" i="3" s="1"/>
  <c r="F36" i="3"/>
  <c r="F30" i="3"/>
  <c r="L3" i="3"/>
  <c r="L18" i="3"/>
  <c r="I10" i="3"/>
  <c r="A4" i="3"/>
  <c r="A3" i="3"/>
  <c r="F14" i="3"/>
  <c r="F16" i="3"/>
  <c r="I19" i="3"/>
  <c r="I20" i="3"/>
  <c r="I21" i="3"/>
  <c r="I22" i="3"/>
  <c r="F23" i="3"/>
  <c r="L35" i="1"/>
  <c r="K34" i="1"/>
  <c r="N32" i="1"/>
  <c r="L33" i="6"/>
  <c r="M34" i="6"/>
  <c r="L35" i="6"/>
  <c r="O14" i="5"/>
  <c r="C22" i="5"/>
  <c r="O7" i="1"/>
  <c r="N33" i="3"/>
  <c r="L35" i="3"/>
  <c r="M33" i="5"/>
  <c r="K33" i="5"/>
  <c r="N30" i="5"/>
  <c r="M30" i="5"/>
  <c r="L30" i="5"/>
  <c r="O7" i="6" l="1"/>
  <c r="F24" i="6"/>
  <c r="O6" i="3"/>
  <c r="F24" i="3"/>
  <c r="K34" i="6"/>
  <c r="K35" i="3"/>
  <c r="K32" i="5"/>
  <c r="C24" i="5" s="1"/>
  <c r="J37" i="5" s="1"/>
  <c r="C30" i="5" s="1"/>
  <c r="C25" i="5" s="1"/>
  <c r="C28" i="5" s="1"/>
  <c r="N32" i="6"/>
  <c r="M33" i="1"/>
  <c r="M32" i="3"/>
  <c r="F28" i="3" s="1"/>
  <c r="J37" i="3" s="1"/>
  <c r="F35" i="3" s="1"/>
  <c r="L32" i="6"/>
  <c r="K32" i="6"/>
  <c r="K34" i="3"/>
  <c r="K35" i="1"/>
  <c r="M32" i="6"/>
  <c r="L32" i="1"/>
  <c r="F28" i="1" s="1"/>
  <c r="J37" i="1" s="1"/>
  <c r="F35" i="1" s="1"/>
  <c r="M35" i="1"/>
  <c r="M35" i="3"/>
  <c r="N32" i="3"/>
  <c r="F29" i="1" l="1"/>
  <c r="F32" i="1" s="1"/>
  <c r="A37" i="1"/>
  <c r="A37" i="3"/>
  <c r="F29" i="3"/>
  <c r="F32" i="3" s="1"/>
  <c r="F28" i="6"/>
  <c r="J37" i="6" s="1"/>
  <c r="F35" i="6" s="1"/>
  <c r="F29" i="6" l="1"/>
  <c r="F32" i="6" s="1"/>
  <c r="A37" i="6"/>
</calcChain>
</file>

<file path=xl/sharedStrings.xml><?xml version="1.0" encoding="utf-8"?>
<sst xmlns="http://schemas.openxmlformats.org/spreadsheetml/2006/main" count="201" uniqueCount="139">
  <si>
    <t>Typical tractor weight is 4,500-27,000 Kg</t>
  </si>
  <si>
    <t>Datos a Ingresar</t>
  </si>
  <si>
    <t>Silo</t>
  </si>
  <si>
    <t>Rango típico 15 a 200</t>
  </si>
  <si>
    <t>Rango recomendado 0.30 a 0.40</t>
  </si>
  <si>
    <t>Espesor recomendado 15 cm o menos</t>
  </si>
  <si>
    <t>Maquinaria</t>
  </si>
  <si>
    <t>Peso (kg)</t>
  </si>
  <si>
    <t>Tiempo sobre el forraje (%)</t>
  </si>
  <si>
    <t>Cálculos</t>
  </si>
  <si>
    <t>Peso total ponderado (kg) =</t>
  </si>
  <si>
    <t>Intermedios</t>
  </si>
  <si>
    <t>Altura Promedio del Silo (metros) =</t>
  </si>
  <si>
    <t>Resultados</t>
  </si>
  <si>
    <t>Factor  de Compactación =</t>
  </si>
  <si>
    <r>
      <t>Brian Holmes,</t>
    </r>
    <r>
      <rPr>
        <sz val="12"/>
        <color indexed="57"/>
        <rFont val="Trebuchet MS"/>
        <family val="2"/>
      </rPr>
      <t xml:space="preserve"> Depto. de Ingeniería de Sistemas Biológicos y </t>
    </r>
  </si>
  <si>
    <t>Top Width (feet) [ can be zero]=</t>
  </si>
  <si>
    <t>Top Width (meters) [ can be zero]=</t>
  </si>
  <si>
    <t xml:space="preserve">     Silage Density in a Silage Pile (Metric Units)</t>
  </si>
  <si>
    <t xml:space="preserve">     Silage Density in a Silage Pile(English Units)</t>
  </si>
  <si>
    <t>University of Wisconsin-Madison</t>
  </si>
  <si>
    <t>Silage Packing Layer Thickness (inches) =</t>
  </si>
  <si>
    <t>Tractor # 1</t>
  </si>
  <si>
    <t>Tractor # 2</t>
  </si>
  <si>
    <t>Tractor # 3</t>
  </si>
  <si>
    <t>Tractor # 4</t>
  </si>
  <si>
    <t>Packing Factor =</t>
  </si>
  <si>
    <t>Average Silage Height (feet) =</t>
  </si>
  <si>
    <t>Values in yellow cells are user changeable</t>
  </si>
  <si>
    <t>Values in pink cells are results of calculations</t>
  </si>
  <si>
    <t>Tractor Weight (lbs)</t>
  </si>
  <si>
    <t>Packing Tractor  - Each Tractor</t>
  </si>
  <si>
    <t>Brian Holmes(1) and Richard Muck(2)</t>
  </si>
  <si>
    <t>Tractor Packing Time (% of Filling Time)</t>
  </si>
  <si>
    <t>Green cells are intermediate calculated values</t>
  </si>
  <si>
    <t>Est. Average Dry Matter Density (lbs DM/cu ft) =</t>
  </si>
  <si>
    <t>Tractor Weight (Kg)</t>
  </si>
  <si>
    <t>Average Silage Height (meters) =</t>
  </si>
  <si>
    <t>Est. Average Dry Matter Density (Kg DM/cu m) =</t>
  </si>
  <si>
    <t>Silage Packing Layer Thickness (cm) =</t>
  </si>
  <si>
    <t xml:space="preserve">     Spreadsheet to Calculate Average</t>
  </si>
  <si>
    <t>Silage Dry Matter Content (decimal ie 0.35) =</t>
  </si>
  <si>
    <t>Recommended range of DM content = 0.3-0.4</t>
  </si>
  <si>
    <t>Typical values 15-200 T AF/hr</t>
  </si>
  <si>
    <t>Typical values 15-200 t AF/hr</t>
  </si>
  <si>
    <t>(2) US Dairy Forage Research Center</t>
  </si>
  <si>
    <t>(1) Biological Systems Engineering Dept. and</t>
  </si>
  <si>
    <t>Proportioned Total Tractor Weight (Kg) =</t>
  </si>
  <si>
    <t>Proportioned Total Tractor Weight (lbs) =</t>
  </si>
  <si>
    <t>Maximum Achievable DM Density (lbs DM/cu ft)=</t>
  </si>
  <si>
    <t>Maximum Achievable DM Density (Kg DM/cu m)=</t>
  </si>
  <si>
    <t>Typical tractor weight is 10,000-60,000 lbs</t>
  </si>
  <si>
    <t>Recommended value is 15.24 cm or less</t>
  </si>
  <si>
    <t>Recommended value is 6 inches or less</t>
  </si>
  <si>
    <t>=======================================================================================</t>
  </si>
  <si>
    <t>Do You Know Horizontal Portion of Side Slope (ie 3 for 3:1) [Yes or No]</t>
  </si>
  <si>
    <t>No</t>
  </si>
  <si>
    <t>Silage Pile Height to Top of Slope (meters) =</t>
  </si>
  <si>
    <t>Horizontal Portion of Side Slope (3 for 3:1) =</t>
  </si>
  <si>
    <t>Horizontal Portion of Side Slope (ie 3 for 3:1) =</t>
  </si>
  <si>
    <t>Silage Pile Height to Top of Slope (feet) =</t>
  </si>
  <si>
    <r>
      <t xml:space="preserve">Hoja de Cálculo para Estimar la Densidad Promedio en </t>
    </r>
    <r>
      <rPr>
        <b/>
        <sz val="14"/>
        <color indexed="10"/>
        <rFont val="Trebuchet MS"/>
        <family val="2"/>
      </rPr>
      <t>Silos de Montículo</t>
    </r>
    <r>
      <rPr>
        <b/>
        <sz val="14"/>
        <color indexed="12"/>
        <rFont val="Trebuchet MS"/>
        <family val="2"/>
      </rPr>
      <t xml:space="preserve"> </t>
    </r>
    <r>
      <rPr>
        <i/>
        <sz val="10"/>
        <color indexed="12"/>
        <rFont val="Trebuchet MS"/>
        <family val="2"/>
      </rPr>
      <t>(unidades métricas)</t>
    </r>
  </si>
  <si>
    <t>Altura del Montículo (metros) =</t>
  </si>
  <si>
    <t>Tasa de llenado (toneladas de forraje por hora) =</t>
  </si>
  <si>
    <t>Contenido de MS del forraje, (en decimales) =</t>
  </si>
  <si>
    <t>Espesor de la Capa de Forraje Distribuida (cm) =</t>
  </si>
  <si>
    <t>Cálc Interm</t>
  </si>
  <si>
    <r>
      <t>Richard Muck,</t>
    </r>
    <r>
      <rPr>
        <sz val="12"/>
        <color indexed="57"/>
        <rFont val="Trebuchet MS"/>
        <family val="2"/>
      </rPr>
      <t xml:space="preserve"> Centro de Investigacion en Forrajes para Ganado Lechero de los Estados Unidos </t>
    </r>
  </si>
  <si>
    <t>Distancia Horizontal con relacion a la Pendiente Lateral  (3, en 3:1)</t>
  </si>
  <si>
    <t>¿Conoce la Distancia Horizontal con relacion a la Pendiente? (por ejemplo 3, en 3:1) [Si o No]</t>
  </si>
  <si>
    <t>Column F</t>
  </si>
  <si>
    <t>1 Tractor</t>
  </si>
  <si>
    <t>2 Tractors</t>
  </si>
  <si>
    <t>3 Tractors</t>
  </si>
  <si>
    <t>4 Tractors</t>
  </si>
  <si>
    <t>-------------------------------------------------------------------------------------------------------------------------------------------------------------------</t>
  </si>
  <si>
    <t>----------------------------------------------------------------------------------------------------------------------------------------------------------------------</t>
  </si>
  <si>
    <t>Est. Average Wet Density = Bulk Density (lbs AF/cu ft) =</t>
  </si>
  <si>
    <t>Wet Density greater than 44 lbs AF/cu ft is recommended</t>
  </si>
  <si>
    <t>Maximum Achievable Bulk Density (lbs AF/cu ft)=</t>
  </si>
  <si>
    <t>Wet Density greater than Max. Wet Density is unrealistic</t>
  </si>
  <si>
    <t>Gas Filled Porosity =</t>
  </si>
  <si>
    <t>Gas Filled Porosity less than 0.40 is recommended</t>
  </si>
  <si>
    <t>DM Density greater than Max. Achievable is unrealistic</t>
  </si>
  <si>
    <t>Density greater than 15 lbs DM/cu ft is recommended</t>
  </si>
  <si>
    <t xml:space="preserve"> Packing Factor =</t>
  </si>
  <si>
    <t>Dry Matter Density greater than 240 Kg DM/cu m is recommended</t>
  </si>
  <si>
    <t>Est. Average Wet Density = Bulk Density (kg AF/cu m) =</t>
  </si>
  <si>
    <t>Wet Density greater than 705 kg AF/cu m is recommended</t>
  </si>
  <si>
    <t>Maximum Achievable Bulk Density (kg AF/cu m)=</t>
  </si>
  <si>
    <r>
      <t>Universidad de Wisconsin - Madison (</t>
    </r>
    <r>
      <rPr>
        <sz val="12"/>
        <color indexed="10"/>
        <rFont val="Trebuchet MS"/>
        <family val="2"/>
      </rPr>
      <t>23 de Agosto del 2007</t>
    </r>
    <r>
      <rPr>
        <sz val="12"/>
        <color indexed="57"/>
        <rFont val="Trebuchet MS"/>
        <family val="2"/>
      </rPr>
      <t>)</t>
    </r>
  </si>
  <si>
    <r>
      <t>Objetivo Recomendado: mayor a 240 kg MS por m</t>
    </r>
    <r>
      <rPr>
        <vertAlign val="superscript"/>
        <sz val="10"/>
        <color indexed="10"/>
        <rFont val="Trebuchet MS"/>
        <family val="2"/>
      </rPr>
      <t>3</t>
    </r>
  </si>
  <si>
    <t>Densidad mayor a Densidad Maxima de MS Alcanzable es irreal</t>
  </si>
  <si>
    <t>Ancho de la Parte Superior del Montículo - puede ser cero - (metros) =</t>
  </si>
  <si>
    <r>
      <t>Promedio Estimado de Densidad de MS (kg MS por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 =</t>
    </r>
  </si>
  <si>
    <r>
      <t>Máxima Densidad de MS Alcanzable (kg MS por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 =</t>
    </r>
  </si>
  <si>
    <t>Peso típico rango de 4,500 - 27,000 kg</t>
  </si>
  <si>
    <r>
      <t>Densidad humeda promedio estimada= Densidad en volumen (kg AF/ 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</si>
  <si>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Maxima densidad en volumen alcanzable (kg AF/ metro cubico)</t>
  </si>
  <si>
    <t>Porosidad de llenado de gas</t>
  </si>
  <si>
    <t>Se recomienda una densidad humeda mayor de 705 kg AF/ m cubico</t>
  </si>
  <si>
    <t>Una densidad humeda mayor que la maxima densidad humeda no es real</t>
  </si>
  <si>
    <t>Se recomienda una porosidad de llenado de gas menor a 0.40</t>
  </si>
  <si>
    <t>Silage Delivery Rate to Pile (T AF/Hr) =</t>
  </si>
  <si>
    <t>Silage Delivery Rate to Pile (tonne AF/Hr) =</t>
  </si>
  <si>
    <t>====================================================================================================</t>
  </si>
  <si>
    <t>Conoce la pendiente de la parte horizontal lateral? (ie 3 para 3:1) [Si o No]</t>
  </si>
  <si>
    <t xml:space="preserve">     Hoja de calculo para calcular la densidad promedio  </t>
  </si>
  <si>
    <t xml:space="preserve">     del ensilado en una pila de ensilado (unidades inglesas)</t>
  </si>
  <si>
    <t>Ancho de la base (pies)=</t>
  </si>
  <si>
    <t>Altura de la pila de ensilado al tope de la pendiente (pies) =</t>
  </si>
  <si>
    <t>Porción horizontal lateral de la pendiente (ie 3 para 3:1) =</t>
  </si>
  <si>
    <t>Ancho del tope (pies) [ puede ser cero]=</t>
  </si>
  <si>
    <t>Los valores en celdas amarillas son cambiables por el usuario</t>
  </si>
  <si>
    <t>Tasa de llenado de ensilado en la pila (T AF/Hr) =</t>
  </si>
  <si>
    <t>Valores típicos 15-200 T AF/hr</t>
  </si>
  <si>
    <t>Contenido de materia seca del ensilado (decimal ie 0.35) =</t>
  </si>
  <si>
    <t>Rango recomendado de MS = 0.3-0.4</t>
  </si>
  <si>
    <t>Espesor de la capa de compactación del ensilado (pulgadas) =</t>
  </si>
  <si>
    <t>El valor recomendado es de 6 pulgadas o menos</t>
  </si>
  <si>
    <t>Tractor compactador  - Cada Tractor</t>
  </si>
  <si>
    <t>Peso del tractor (lbs)</t>
  </si>
  <si>
    <t>Tiempo de compactado con tractor (% del tiempo de llenado)</t>
  </si>
  <si>
    <t>El peso típico del tractor es 10,000-60,000 lbs</t>
  </si>
  <si>
    <t>Peso total proporcional del tractor (lbs) =</t>
  </si>
  <si>
    <t>Altura promedio del ensilado (pies) =</t>
  </si>
  <si>
    <t>Las celdas verdes son valores intermedios calculados</t>
  </si>
  <si>
    <t xml:space="preserve"> Factor de compactación =</t>
  </si>
  <si>
    <t>Los valores en rosa son resultados de cálculos</t>
  </si>
  <si>
    <t>Densidad húmeda promedio estimada = Densidad bruta (lbs AF/pies cub) =</t>
  </si>
  <si>
    <t>Se recomienda una densidad húmeda superior a las 44 lbs AF/pies cub</t>
  </si>
  <si>
    <t>Densidad bruta máxima alcanzable (lbs AF/pies cub)=</t>
  </si>
  <si>
    <t>Una densidad húmeda superior a la Densidad Húmeda Máxima no es realista</t>
  </si>
  <si>
    <t>Porosidad llena de gas =</t>
  </si>
  <si>
    <t>Se recomienda una porosidad llena de gas menor a  0.40</t>
  </si>
  <si>
    <t>Densidad promedio estimada de materia seca  (lbs MS/pies cub) =</t>
  </si>
  <si>
    <t>Se recomienda una densidad mayor a las 15 lbs MS/pies cub.</t>
  </si>
  <si>
    <t>Densidad máxima de MS alcanzable (lbs MS/pies cub)=</t>
  </si>
  <si>
    <t>Una densidad de la MS superior a la Máxima alcanzable no es realista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</si>
</sst>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5" formatCode="0.0"/>
    <numFmt numFmtId="176" formatCode="_(* #,##0.0_);_(* \(#,##0.0\);_(* &quot;-&quot;??_);_(@_)"/>
    <numFmt numFmtId="177" formatCode="_(* #,##0_);_(* \(#,##0\);_(* &quot;-&quot;??_);_(@_)"/>
    <numFmt numFmtId="197" formatCode="[$-409]mmmm\ d\,\ yyyy;@"/>
  </numFmts>
  <fonts count="45" x14ac:knownFonts="1">
    <font>
      <sz val="10"/>
      <name val="Arial"/>
    </font>
    <font>
      <sz val="10"/>
      <name val="Arial"/>
    </font>
    <font>
      <b/>
      <sz val="10"/>
      <color indexed="57"/>
      <name val="Arial"/>
      <family val="2"/>
    </font>
    <font>
      <b/>
      <sz val="12"/>
      <color indexed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name val="Arial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0"/>
      <name val="Arial"/>
    </font>
    <font>
      <sz val="10"/>
      <color indexed="9"/>
      <name val="Arial"/>
      <family val="2"/>
    </font>
    <font>
      <sz val="10"/>
      <color indexed="17"/>
      <name val="Arial"/>
      <family val="2"/>
    </font>
    <font>
      <i/>
      <sz val="10"/>
      <color indexed="12"/>
      <name val="Trebuchet MS"/>
      <family val="2"/>
    </font>
    <font>
      <b/>
      <sz val="14"/>
      <color indexed="12"/>
      <name val="Trebuchet MS"/>
      <family val="2"/>
    </font>
    <font>
      <sz val="10"/>
      <name val="Trebuchet MS"/>
      <family val="2"/>
    </font>
    <font>
      <sz val="12"/>
      <color indexed="57"/>
      <name val="Trebuchet MS"/>
      <family val="2"/>
    </font>
    <font>
      <b/>
      <sz val="14"/>
      <color indexed="57"/>
      <name val="Trebuchet MS"/>
      <family val="2"/>
    </font>
    <font>
      <sz val="10"/>
      <color indexed="55"/>
      <name val="Trebuchet MS"/>
      <family val="2"/>
    </font>
    <font>
      <b/>
      <sz val="10"/>
      <name val="Trebuchet MS"/>
      <family val="2"/>
    </font>
    <font>
      <sz val="10"/>
      <color indexed="10"/>
      <name val="Trebuchet MS"/>
      <family val="2"/>
    </font>
    <font>
      <sz val="10"/>
      <color indexed="9"/>
      <name val="Trebuchet MS"/>
      <family val="2"/>
    </font>
    <font>
      <sz val="10"/>
      <color indexed="23"/>
      <name val="Trebuchet MS"/>
      <family val="2"/>
    </font>
    <font>
      <vertAlign val="superscript"/>
      <sz val="10"/>
      <color indexed="10"/>
      <name val="Trebuchet MS"/>
      <family val="2"/>
    </font>
    <font>
      <sz val="12"/>
      <color indexed="10"/>
      <name val="Trebuchet MS"/>
      <family val="2"/>
    </font>
    <font>
      <b/>
      <sz val="14"/>
      <color indexed="10"/>
      <name val="Trebuchet MS"/>
      <family val="2"/>
    </font>
    <font>
      <sz val="10"/>
      <color indexed="10"/>
      <name val="Arial"/>
    </font>
    <font>
      <b/>
      <sz val="12"/>
      <name val="Arial"/>
    </font>
    <font>
      <sz val="10"/>
      <color indexed="9"/>
      <name val="Arial"/>
    </font>
    <font>
      <sz val="10"/>
      <color indexed="8"/>
      <name val="Arial"/>
    </font>
    <font>
      <sz val="10"/>
      <color indexed="57"/>
      <name val="Trebuchet MS"/>
      <family val="2"/>
    </font>
    <font>
      <b/>
      <sz val="12"/>
      <color indexed="8"/>
      <name val="Arial"/>
      <family val="2"/>
    </font>
    <font>
      <sz val="10"/>
      <color indexed="8"/>
      <name val="Trebuchet MS"/>
      <family val="2"/>
    </font>
    <font>
      <sz val="10"/>
      <color indexed="8"/>
      <name val="Arial"/>
      <family val="2"/>
    </font>
    <font>
      <b/>
      <sz val="12"/>
      <color indexed="9"/>
      <name val="Arial"/>
    </font>
    <font>
      <b/>
      <sz val="16"/>
      <name val="Arial"/>
      <family val="2"/>
    </font>
    <font>
      <b/>
      <sz val="14"/>
      <name val="Arial"/>
      <family val="2"/>
    </font>
    <font>
      <b/>
      <sz val="14"/>
      <name val="Trebuchet MS"/>
      <family val="2"/>
    </font>
    <font>
      <b/>
      <sz val="14"/>
      <color indexed="8"/>
      <name val="Trebuchet MS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  <font>
      <sz val="10"/>
      <color indexed="10"/>
      <name val="Arial"/>
      <family val="2"/>
    </font>
    <font>
      <b/>
      <sz val="12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0" fillId="2" borderId="0" xfId="0" applyFill="1" applyProtection="1"/>
    <xf numFmtId="0" fontId="3" fillId="0" borderId="0" xfId="0" applyFont="1" applyProtection="1"/>
    <xf numFmtId="0" fontId="4" fillId="0" borderId="0" xfId="0" applyFont="1" applyProtection="1"/>
    <xf numFmtId="0" fontId="4" fillId="0" borderId="0" xfId="0" quotePrefix="1" applyFont="1" applyProtection="1"/>
    <xf numFmtId="0" fontId="4" fillId="3" borderId="0" xfId="0" applyFont="1" applyFill="1" applyProtection="1"/>
    <xf numFmtId="0" fontId="5" fillId="0" borderId="0" xfId="0" applyFont="1" applyProtection="1"/>
    <xf numFmtId="0" fontId="0" fillId="3" borderId="0" xfId="0" applyFill="1" applyProtection="1"/>
    <xf numFmtId="0" fontId="8" fillId="0" borderId="0" xfId="0" applyFont="1" applyProtection="1"/>
    <xf numFmtId="0" fontId="9" fillId="0" borderId="0" xfId="0" applyFont="1" applyProtection="1"/>
    <xf numFmtId="0" fontId="10" fillId="0" borderId="0" xfId="0" applyFont="1" applyProtection="1"/>
    <xf numFmtId="165" fontId="4" fillId="0" borderId="0" xfId="0" applyNumberFormat="1" applyFont="1" applyFill="1" applyProtection="1"/>
    <xf numFmtId="0" fontId="0" fillId="0" borderId="0" xfId="0" applyFill="1" applyProtection="1"/>
    <xf numFmtId="0" fontId="0" fillId="0" borderId="0" xfId="0" quotePrefix="1"/>
    <xf numFmtId="0" fontId="12" fillId="0" borderId="0" xfId="0" applyFont="1" applyProtection="1"/>
    <xf numFmtId="0" fontId="11" fillId="0" borderId="0" xfId="0" applyFont="1" applyFill="1" applyProtection="1"/>
    <xf numFmtId="0" fontId="13" fillId="0" borderId="0" xfId="0" applyFont="1" applyProtection="1"/>
    <xf numFmtId="0" fontId="0" fillId="0" borderId="0" xfId="0" applyFill="1"/>
    <xf numFmtId="0" fontId="16" fillId="0" borderId="0" xfId="0" applyFont="1"/>
    <xf numFmtId="177" fontId="19" fillId="0" borderId="0" xfId="1" applyNumberFormat="1" applyFont="1"/>
    <xf numFmtId="0" fontId="16" fillId="0" borderId="0" xfId="0" applyFont="1" applyProtection="1"/>
    <xf numFmtId="0" fontId="16" fillId="0" borderId="1" xfId="1" applyNumberFormat="1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center" wrapText="1"/>
    </xf>
    <xf numFmtId="0" fontId="16" fillId="0" borderId="0" xfId="0" quotePrefix="1" applyFont="1"/>
    <xf numFmtId="0" fontId="16" fillId="0" borderId="0" xfId="0" applyFont="1" applyFill="1" applyBorder="1"/>
    <xf numFmtId="177" fontId="16" fillId="0" borderId="0" xfId="1" applyNumberFormat="1" applyFont="1" applyFill="1" applyBorder="1" applyProtection="1">
      <protection locked="0"/>
    </xf>
    <xf numFmtId="177" fontId="16" fillId="0" borderId="0" xfId="1" applyNumberFormat="1" applyFont="1" applyFill="1" applyBorder="1" applyAlignment="1" applyProtection="1">
      <alignment horizontal="left"/>
      <protection locked="0"/>
    </xf>
    <xf numFmtId="0" fontId="23" fillId="0" borderId="0" xfId="0" applyFont="1" applyFill="1" applyBorder="1" applyProtection="1"/>
    <xf numFmtId="0" fontId="23" fillId="0" borderId="0" xfId="0" applyNumberFormat="1" applyFont="1" applyFill="1" applyBorder="1" applyProtection="1"/>
    <xf numFmtId="0" fontId="16" fillId="0" borderId="0" xfId="0" quotePrefix="1" applyFont="1" applyFill="1" applyBorder="1"/>
    <xf numFmtId="0" fontId="16" fillId="0" borderId="0" xfId="0" applyFont="1" applyFill="1"/>
    <xf numFmtId="177" fontId="16" fillId="0" borderId="0" xfId="1" applyNumberFormat="1" applyFont="1" applyProtection="1"/>
    <xf numFmtId="0" fontId="21" fillId="0" borderId="0" xfId="0" applyFont="1" applyFill="1" applyProtection="1"/>
    <xf numFmtId="177" fontId="22" fillId="0" borderId="0" xfId="1" applyNumberFormat="1" applyFont="1" applyFill="1" applyProtection="1"/>
    <xf numFmtId="165" fontId="27" fillId="0" borderId="0" xfId="0" applyNumberFormat="1" applyFont="1" applyProtection="1"/>
    <xf numFmtId="0" fontId="28" fillId="0" borderId="0" xfId="0" applyFont="1" applyProtection="1"/>
    <xf numFmtId="0" fontId="28" fillId="4" borderId="0" xfId="0" applyFont="1" applyFill="1" applyProtection="1"/>
    <xf numFmtId="165" fontId="0" fillId="0" borderId="0" xfId="0" applyNumberFormat="1" applyProtection="1"/>
    <xf numFmtId="165" fontId="28" fillId="3" borderId="0" xfId="0" applyNumberFormat="1" applyFont="1" applyFill="1" applyProtection="1"/>
    <xf numFmtId="0" fontId="29" fillId="0" borderId="0" xfId="0" applyFont="1" applyProtection="1"/>
    <xf numFmtId="0" fontId="30" fillId="0" borderId="0" xfId="0" applyFont="1" applyProtection="1"/>
    <xf numFmtId="0" fontId="9" fillId="3" borderId="0" xfId="0" applyFont="1" applyFill="1" applyProtection="1"/>
    <xf numFmtId="0" fontId="16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/>
    </xf>
    <xf numFmtId="0" fontId="20" fillId="5" borderId="3" xfId="0" applyFont="1" applyFill="1" applyBorder="1" applyAlignment="1">
      <alignment horizontal="left"/>
    </xf>
    <xf numFmtId="0" fontId="16" fillId="0" borderId="0" xfId="0" applyFont="1" applyBorder="1"/>
    <xf numFmtId="177" fontId="16" fillId="5" borderId="2" xfId="1" applyNumberFormat="1" applyFont="1" applyFill="1" applyBorder="1" applyProtection="1"/>
    <xf numFmtId="197" fontId="2" fillId="0" borderId="0" xfId="0" applyNumberFormat="1" applyFont="1" applyAlignment="1" applyProtection="1">
      <alignment horizontal="left"/>
    </xf>
    <xf numFmtId="0" fontId="9" fillId="0" borderId="0" xfId="0" applyNumberFormat="1" applyFont="1" applyFill="1" applyProtection="1"/>
    <xf numFmtId="0" fontId="32" fillId="0" borderId="0" xfId="0" applyFont="1" applyProtection="1"/>
    <xf numFmtId="0" fontId="32" fillId="3" borderId="0" xfId="0" applyFont="1" applyFill="1" applyProtection="1"/>
    <xf numFmtId="0" fontId="20" fillId="6" borderId="4" xfId="0" applyFont="1" applyFill="1" applyBorder="1" applyProtection="1">
      <protection locked="0"/>
    </xf>
    <xf numFmtId="177" fontId="16" fillId="7" borderId="5" xfId="1" applyNumberFormat="1" applyFont="1" applyFill="1" applyBorder="1" applyProtection="1"/>
    <xf numFmtId="177" fontId="21" fillId="0" borderId="0" xfId="1" applyNumberFormat="1" applyFont="1" applyFill="1" applyProtection="1"/>
    <xf numFmtId="0" fontId="21" fillId="0" borderId="0" xfId="0" applyNumberFormat="1" applyFont="1" applyFill="1" applyProtection="1"/>
    <xf numFmtId="0" fontId="16" fillId="0" borderId="0" xfId="0" applyFont="1" applyFill="1" applyProtection="1"/>
    <xf numFmtId="0" fontId="27" fillId="0" borderId="0" xfId="0" applyFont="1" applyFill="1" applyProtection="1"/>
    <xf numFmtId="0" fontId="34" fillId="0" borderId="0" xfId="0" applyFont="1" applyProtection="1"/>
    <xf numFmtId="0" fontId="37" fillId="6" borderId="0" xfId="0" applyFont="1" applyFill="1" applyAlignment="1" applyProtection="1">
      <alignment horizontal="center"/>
    </xf>
    <xf numFmtId="165" fontId="37" fillId="6" borderId="0" xfId="0" applyNumberFormat="1" applyFont="1" applyFill="1" applyAlignment="1" applyProtection="1">
      <alignment horizontal="center"/>
    </xf>
    <xf numFmtId="0" fontId="37" fillId="6" borderId="0" xfId="0" applyFont="1" applyFill="1" applyAlignment="1" applyProtection="1">
      <alignment horizontal="right"/>
    </xf>
    <xf numFmtId="165" fontId="36" fillId="3" borderId="0" xfId="0" applyNumberFormat="1" applyFont="1" applyFill="1" applyProtection="1"/>
    <xf numFmtId="0" fontId="29" fillId="0" borderId="0" xfId="0" applyFont="1" applyFill="1" applyProtection="1"/>
    <xf numFmtId="165" fontId="36" fillId="3" borderId="0" xfId="0" applyNumberFormat="1" applyFont="1" applyFill="1"/>
    <xf numFmtId="0" fontId="0" fillId="3" borderId="0" xfId="0" applyFill="1"/>
    <xf numFmtId="165" fontId="37" fillId="6" borderId="0" xfId="0" applyNumberFormat="1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165" fontId="39" fillId="7" borderId="0" xfId="0" applyNumberFormat="1" applyFont="1" applyFill="1" applyAlignment="1">
      <alignment horizontal="center"/>
    </xf>
    <xf numFmtId="176" fontId="38" fillId="6" borderId="0" xfId="0" applyNumberFormat="1" applyFont="1" applyFill="1" applyAlignment="1">
      <alignment horizontal="center"/>
    </xf>
    <xf numFmtId="177" fontId="22" fillId="0" borderId="0" xfId="1" applyNumberFormat="1" applyFont="1" applyFill="1"/>
    <xf numFmtId="0" fontId="12" fillId="0" borderId="0" xfId="0" applyFont="1" applyFill="1" applyProtection="1"/>
    <xf numFmtId="177" fontId="22" fillId="0" borderId="0" xfId="1" applyNumberFormat="1" applyFont="1" applyFill="1" applyBorder="1" applyProtection="1"/>
    <xf numFmtId="0" fontId="20" fillId="6" borderId="0" xfId="0" applyFont="1" applyFill="1" applyBorder="1" applyProtection="1">
      <protection locked="0"/>
    </xf>
    <xf numFmtId="0" fontId="4" fillId="6" borderId="0" xfId="0" applyFont="1" applyFill="1" applyProtection="1">
      <protection locked="0"/>
    </xf>
    <xf numFmtId="0" fontId="28" fillId="6" borderId="0" xfId="0" applyFont="1" applyFill="1" applyProtection="1">
      <protection locked="0"/>
    </xf>
    <xf numFmtId="1" fontId="4" fillId="0" borderId="0" xfId="0" applyNumberFormat="1" applyFont="1" applyFill="1" applyProtection="1"/>
    <xf numFmtId="0" fontId="0" fillId="7" borderId="0" xfId="0" applyFill="1" applyProtection="1"/>
    <xf numFmtId="165" fontId="4" fillId="3" borderId="5" xfId="0" applyNumberFormat="1" applyFont="1" applyFill="1" applyBorder="1" applyProtection="1"/>
    <xf numFmtId="2" fontId="4" fillId="3" borderId="5" xfId="0" applyNumberFormat="1" applyFont="1" applyFill="1" applyBorder="1" applyProtection="1"/>
    <xf numFmtId="0" fontId="0" fillId="0" borderId="5" xfId="0" applyBorder="1" applyProtection="1"/>
    <xf numFmtId="0" fontId="0" fillId="0" borderId="5" xfId="0" applyBorder="1"/>
    <xf numFmtId="177" fontId="33" fillId="0" borderId="0" xfId="1" applyNumberFormat="1" applyFont="1" applyFill="1"/>
    <xf numFmtId="0" fontId="33" fillId="0" borderId="0" xfId="0" applyFont="1" applyFill="1"/>
    <xf numFmtId="177" fontId="19" fillId="0" borderId="0" xfId="1" applyNumberFormat="1" applyFont="1" applyFill="1"/>
    <xf numFmtId="0" fontId="22" fillId="0" borderId="0" xfId="0" applyFont="1" applyFill="1" applyProtection="1"/>
    <xf numFmtId="0" fontId="16" fillId="0" borderId="0" xfId="0" quotePrefix="1" applyFont="1" applyFill="1"/>
    <xf numFmtId="43" fontId="22" fillId="0" borderId="0" xfId="0" applyNumberFormat="1" applyFont="1" applyFill="1" applyProtection="1"/>
    <xf numFmtId="0" fontId="40" fillId="0" borderId="0" xfId="0" applyFont="1" applyAlignment="1" applyProtection="1">
      <alignment horizontal="left"/>
    </xf>
    <xf numFmtId="0" fontId="40" fillId="0" borderId="0" xfId="0" applyFont="1" applyFill="1" applyAlignment="1" applyProtection="1">
      <alignment horizontal="left"/>
    </xf>
    <xf numFmtId="0" fontId="40" fillId="0" borderId="0" xfId="0" applyFont="1" applyFill="1" applyBorder="1" applyAlignment="1" applyProtection="1">
      <alignment horizontal="left"/>
    </xf>
    <xf numFmtId="0" fontId="40" fillId="0" borderId="0" xfId="0" quotePrefix="1" applyFont="1" applyAlignment="1" applyProtection="1">
      <alignment horizontal="left"/>
    </xf>
    <xf numFmtId="0" fontId="40" fillId="0" borderId="0" xfId="0" applyFont="1" applyFill="1" applyBorder="1" applyProtection="1"/>
    <xf numFmtId="0" fontId="4" fillId="3" borderId="0" xfId="0" applyFont="1" applyFill="1"/>
    <xf numFmtId="0" fontId="21" fillId="0" borderId="0" xfId="0" applyFont="1"/>
    <xf numFmtId="0" fontId="43" fillId="0" borderId="0" xfId="0" applyFont="1"/>
    <xf numFmtId="0" fontId="20" fillId="7" borderId="6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7" borderId="3" xfId="0" applyFont="1" applyFill="1" applyBorder="1" applyAlignment="1">
      <alignment horizontal="left"/>
    </xf>
    <xf numFmtId="165" fontId="16" fillId="7" borderId="5" xfId="0" applyNumberFormat="1" applyFont="1" applyFill="1" applyBorder="1" applyProtection="1"/>
    <xf numFmtId="1" fontId="44" fillId="6" borderId="8" xfId="1" applyNumberFormat="1" applyFont="1" applyFill="1" applyBorder="1" applyProtection="1">
      <protection locked="0"/>
    </xf>
    <xf numFmtId="1" fontId="44" fillId="6" borderId="9" xfId="1" applyNumberFormat="1" applyFont="1" applyFill="1" applyBorder="1" applyAlignment="1" applyProtection="1">
      <alignment horizontal="right"/>
      <protection locked="0"/>
    </xf>
    <xf numFmtId="1" fontId="44" fillId="6" borderId="10" xfId="1" applyNumberFormat="1" applyFont="1" applyFill="1" applyBorder="1" applyProtection="1">
      <protection locked="0"/>
    </xf>
    <xf numFmtId="1" fontId="44" fillId="6" borderId="11" xfId="1" applyNumberFormat="1" applyFont="1" applyFill="1" applyBorder="1" applyAlignment="1" applyProtection="1">
      <alignment horizontal="right"/>
      <protection locked="0"/>
    </xf>
    <xf numFmtId="1" fontId="44" fillId="6" borderId="12" xfId="1" applyNumberFormat="1" applyFont="1" applyFill="1" applyBorder="1" applyProtection="1">
      <protection locked="0"/>
    </xf>
    <xf numFmtId="1" fontId="44" fillId="6" borderId="13" xfId="1" applyNumberFormat="1" applyFont="1" applyFill="1" applyBorder="1" applyAlignment="1" applyProtection="1">
      <alignment horizontal="right"/>
      <protection locked="0"/>
    </xf>
    <xf numFmtId="0" fontId="44" fillId="6" borderId="14" xfId="0" applyFont="1" applyFill="1" applyBorder="1" applyProtection="1">
      <protection locked="0"/>
    </xf>
    <xf numFmtId="0" fontId="44" fillId="6" borderId="15" xfId="0" applyFont="1" applyFill="1" applyBorder="1" applyProtection="1">
      <protection locked="0"/>
    </xf>
    <xf numFmtId="176" fontId="44" fillId="6" borderId="14" xfId="1" applyNumberFormat="1" applyFont="1" applyFill="1" applyBorder="1" applyProtection="1">
      <protection locked="0"/>
    </xf>
    <xf numFmtId="177" fontId="44" fillId="6" borderId="14" xfId="1" applyNumberFormat="1" applyFont="1" applyFill="1" applyBorder="1" applyProtection="1">
      <protection locked="0"/>
    </xf>
    <xf numFmtId="43" fontId="44" fillId="6" borderId="14" xfId="1" applyNumberFormat="1" applyFont="1" applyFill="1" applyBorder="1" applyProtection="1">
      <protection locked="0"/>
    </xf>
    <xf numFmtId="177" fontId="44" fillId="6" borderId="16" xfId="1" applyNumberFormat="1" applyFont="1" applyFill="1" applyBorder="1" applyProtection="1">
      <protection locked="0"/>
    </xf>
    <xf numFmtId="165" fontId="16" fillId="7" borderId="14" xfId="0" applyNumberFormat="1" applyFont="1" applyFill="1" applyBorder="1" applyProtection="1"/>
    <xf numFmtId="177" fontId="44" fillId="5" borderId="5" xfId="1" applyNumberFormat="1" applyFont="1" applyFill="1" applyBorder="1" applyProtection="1"/>
    <xf numFmtId="177" fontId="44" fillId="5" borderId="17" xfId="1" applyNumberFormat="1" applyFont="1" applyFill="1" applyBorder="1" applyProtection="1"/>
    <xf numFmtId="0" fontId="0" fillId="0" borderId="0" xfId="0" quotePrefix="1" applyFill="1"/>
    <xf numFmtId="165" fontId="11" fillId="0" borderId="0" xfId="0" applyNumberFormat="1" applyFont="1" applyFill="1"/>
    <xf numFmtId="0" fontId="29" fillId="0" borderId="0" xfId="0" applyFont="1" applyFill="1"/>
    <xf numFmtId="0" fontId="34" fillId="0" borderId="0" xfId="0" applyFont="1" applyFill="1"/>
    <xf numFmtId="165" fontId="35" fillId="0" borderId="0" xfId="0" applyNumberFormat="1" applyFont="1" applyFill="1" applyProtection="1"/>
    <xf numFmtId="165" fontId="7" fillId="0" borderId="0" xfId="0" applyNumberFormat="1" applyFont="1" applyFill="1" applyProtection="1"/>
    <xf numFmtId="0" fontId="2" fillId="2" borderId="0" xfId="0" applyFont="1" applyFill="1" applyProtection="1"/>
    <xf numFmtId="0" fontId="0" fillId="2" borderId="0" xfId="0" applyFill="1"/>
    <xf numFmtId="0" fontId="34" fillId="0" borderId="0" xfId="0" applyFont="1" applyFill="1" applyProtection="1"/>
    <xf numFmtId="165" fontId="6" fillId="0" borderId="0" xfId="0" applyNumberFormat="1" applyFont="1" applyFill="1" applyProtection="1"/>
    <xf numFmtId="0" fontId="4" fillId="6" borderId="5" xfId="0" applyFont="1" applyFill="1" applyBorder="1" applyProtection="1">
      <protection locked="0"/>
    </xf>
    <xf numFmtId="165" fontId="28" fillId="3" borderId="5" xfId="0" applyNumberFormat="1" applyFont="1" applyFill="1" applyBorder="1" applyProtection="1"/>
    <xf numFmtId="3" fontId="4" fillId="6" borderId="5" xfId="0" applyNumberFormat="1" applyFont="1" applyFill="1" applyBorder="1" applyProtection="1">
      <protection locked="0"/>
    </xf>
    <xf numFmtId="3" fontId="4" fillId="7" borderId="5" xfId="0" applyNumberFormat="1" applyFont="1" applyFill="1" applyBorder="1" applyProtection="1"/>
    <xf numFmtId="165" fontId="4" fillId="7" borderId="5" xfId="0" applyNumberFormat="1" applyFont="1" applyFill="1" applyBorder="1" applyProtection="1"/>
    <xf numFmtId="0" fontId="4" fillId="6" borderId="5" xfId="0" applyFont="1" applyFill="1" applyBorder="1" applyAlignment="1" applyProtection="1">
      <alignment horizontal="left"/>
      <protection locked="0"/>
    </xf>
    <xf numFmtId="0" fontId="28" fillId="6" borderId="0" xfId="0" applyFont="1" applyFill="1" applyBorder="1" applyProtection="1">
      <protection locked="0"/>
    </xf>
    <xf numFmtId="165" fontId="4" fillId="6" borderId="5" xfId="0" applyNumberFormat="1" applyFont="1" applyFill="1" applyBorder="1" applyProtection="1">
      <protection locked="0"/>
    </xf>
    <xf numFmtId="0" fontId="4" fillId="7" borderId="5" xfId="0" applyFont="1" applyFill="1" applyBorder="1" applyProtection="1"/>
    <xf numFmtId="0" fontId="4" fillId="4" borderId="0" xfId="0" applyFont="1" applyFill="1" applyProtection="1"/>
    <xf numFmtId="0" fontId="4" fillId="6" borderId="0" xfId="0" applyFont="1" applyFill="1" applyBorder="1" applyProtection="1">
      <protection locked="0"/>
    </xf>
    <xf numFmtId="0" fontId="0" fillId="0" borderId="0" xfId="0" applyFont="1" applyProtection="1"/>
    <xf numFmtId="0" fontId="30" fillId="0" borderId="0" xfId="0" applyFont="1" applyFill="1" applyProtection="1"/>
    <xf numFmtId="0" fontId="20" fillId="7" borderId="18" xfId="0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15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31" fillId="0" borderId="0" xfId="0" applyFont="1" applyAlignment="1" applyProtection="1">
      <alignment horizontal="center"/>
    </xf>
  </cellXfs>
  <cellStyles count="2">
    <cellStyle name="Comma" xfId="1" builtinId="3"/>
    <cellStyle name="Normal" xfId="0" builtinId="0"/>
  </cellStyles>
  <dxfs count="8"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60960</xdr:rowOff>
    </xdr:from>
    <xdr:to>
      <xdr:col>15</xdr:col>
      <xdr:colOff>426720</xdr:colOff>
      <xdr:row>13</xdr:row>
      <xdr:rowOff>91440</xdr:rowOff>
    </xdr:to>
    <xdr:sp macro="" textlink="">
      <xdr:nvSpPr>
        <xdr:cNvPr id="1025" name="AutoShape 1"/>
        <xdr:cNvSpPr>
          <a:spLocks noChangeArrowheads="1"/>
        </xdr:cNvSpPr>
      </xdr:nvSpPr>
      <xdr:spPr bwMode="auto">
        <a:xfrm rot="10800000">
          <a:off x="10378440" y="1211580"/>
          <a:ext cx="4686300" cy="150876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FCF305"/>
              </a:solidFill>
              <a:latin typeface="Arial"/>
              <a:cs typeface="Arial"/>
            </a:rPr>
            <a:t>      Silage Pile</a:t>
          </a: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FCF305"/>
              </a:solidFill>
              <a:latin typeface="Arial"/>
              <a:cs typeface="Arial"/>
            </a:rPr>
            <a:t>    Cross Section   </a:t>
          </a:r>
        </a:p>
      </xdr:txBody>
    </xdr:sp>
    <xdr:clientData/>
  </xdr:twoCellAnchor>
  <xdr:twoCellAnchor>
    <xdr:from>
      <xdr:col>10</xdr:col>
      <xdr:colOff>541020</xdr:colOff>
      <xdr:row>0</xdr:row>
      <xdr:rowOff>190500</xdr:rowOff>
    </xdr:from>
    <xdr:to>
      <xdr:col>10</xdr:col>
      <xdr:colOff>541020</xdr:colOff>
      <xdr:row>5</xdr:row>
      <xdr:rowOff>137160</xdr:rowOff>
    </xdr:to>
    <xdr:sp macro="" textlink="">
      <xdr:nvSpPr>
        <xdr:cNvPr id="1090" name="Line 2"/>
        <xdr:cNvSpPr>
          <a:spLocks noChangeShapeType="1"/>
        </xdr:cNvSpPr>
      </xdr:nvSpPr>
      <xdr:spPr bwMode="auto">
        <a:xfrm flipV="1">
          <a:off x="11521440" y="190500"/>
          <a:ext cx="0" cy="929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541020</xdr:colOff>
      <xdr:row>0</xdr:row>
      <xdr:rowOff>190500</xdr:rowOff>
    </xdr:from>
    <xdr:to>
      <xdr:col>13</xdr:col>
      <xdr:colOff>541020</xdr:colOff>
      <xdr:row>5</xdr:row>
      <xdr:rowOff>137160</xdr:rowOff>
    </xdr:to>
    <xdr:sp macro="" textlink="">
      <xdr:nvSpPr>
        <xdr:cNvPr id="1091" name="Line 3"/>
        <xdr:cNvSpPr>
          <a:spLocks noChangeShapeType="1"/>
        </xdr:cNvSpPr>
      </xdr:nvSpPr>
      <xdr:spPr bwMode="auto">
        <a:xfrm flipV="1">
          <a:off x="13876020" y="190500"/>
          <a:ext cx="0" cy="929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792480</xdr:colOff>
      <xdr:row>1</xdr:row>
      <xdr:rowOff>38100</xdr:rowOff>
    </xdr:from>
    <xdr:ext cx="1582677" cy="357790"/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1795760" y="241300"/>
          <a:ext cx="1582677" cy="35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Top Width (ft)</a:t>
          </a:r>
        </a:p>
      </xdr:txBody>
    </xdr:sp>
    <xdr:clientData/>
  </xdr:oneCellAnchor>
  <xdr:twoCellAnchor>
    <xdr:from>
      <xdr:col>10</xdr:col>
      <xdr:colOff>541020</xdr:colOff>
      <xdr:row>2</xdr:row>
      <xdr:rowOff>7620</xdr:rowOff>
    </xdr:from>
    <xdr:to>
      <xdr:col>11</xdr:col>
      <xdr:colOff>0</xdr:colOff>
      <xdr:row>2</xdr:row>
      <xdr:rowOff>7620</xdr:rowOff>
    </xdr:to>
    <xdr:sp macro="" textlink="">
      <xdr:nvSpPr>
        <xdr:cNvPr id="1093" name="Line 5"/>
        <xdr:cNvSpPr>
          <a:spLocks noChangeShapeType="1"/>
        </xdr:cNvSpPr>
      </xdr:nvSpPr>
      <xdr:spPr bwMode="auto">
        <a:xfrm flipH="1">
          <a:off x="11521440" y="403860"/>
          <a:ext cx="31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30480</xdr:colOff>
      <xdr:row>2</xdr:row>
      <xdr:rowOff>0</xdr:rowOff>
    </xdr:from>
    <xdr:to>
      <xdr:col>13</xdr:col>
      <xdr:colOff>518160</xdr:colOff>
      <xdr:row>2</xdr:row>
      <xdr:rowOff>7620</xdr:rowOff>
    </xdr:to>
    <xdr:sp macro="" textlink="">
      <xdr:nvSpPr>
        <xdr:cNvPr id="1094" name="Line 6"/>
        <xdr:cNvSpPr>
          <a:spLocks noChangeShapeType="1"/>
        </xdr:cNvSpPr>
      </xdr:nvSpPr>
      <xdr:spPr bwMode="auto">
        <a:xfrm>
          <a:off x="13365480" y="396240"/>
          <a:ext cx="48768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144780</xdr:colOff>
      <xdr:row>7</xdr:row>
      <xdr:rowOff>76200</xdr:rowOff>
    </xdr:from>
    <xdr:to>
      <xdr:col>14</xdr:col>
      <xdr:colOff>617220</xdr:colOff>
      <xdr:row>7</xdr:row>
      <xdr:rowOff>76200</xdr:rowOff>
    </xdr:to>
    <xdr:sp macro="" textlink="">
      <xdr:nvSpPr>
        <xdr:cNvPr id="1095" name="Line 7"/>
        <xdr:cNvSpPr>
          <a:spLocks noChangeShapeType="1"/>
        </xdr:cNvSpPr>
      </xdr:nvSpPr>
      <xdr:spPr bwMode="auto">
        <a:xfrm>
          <a:off x="14157960" y="1493520"/>
          <a:ext cx="4724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617220</xdr:colOff>
      <xdr:row>7</xdr:row>
      <xdr:rowOff>76200</xdr:rowOff>
    </xdr:from>
    <xdr:to>
      <xdr:col>14</xdr:col>
      <xdr:colOff>617220</xdr:colOff>
      <xdr:row>10</xdr:row>
      <xdr:rowOff>76200</xdr:rowOff>
    </xdr:to>
    <xdr:sp macro="" textlink="">
      <xdr:nvSpPr>
        <xdr:cNvPr id="1096" name="Line 8"/>
        <xdr:cNvSpPr>
          <a:spLocks noChangeShapeType="1"/>
        </xdr:cNvSpPr>
      </xdr:nvSpPr>
      <xdr:spPr bwMode="auto">
        <a:xfrm>
          <a:off x="14630400" y="1493520"/>
          <a:ext cx="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114300</xdr:colOff>
      <xdr:row>7</xdr:row>
      <xdr:rowOff>114300</xdr:rowOff>
    </xdr:from>
    <xdr:ext cx="313034" cy="579646"/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14785340" y="1557020"/>
          <a:ext cx="313034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388620</xdr:colOff>
      <xdr:row>6</xdr:row>
      <xdr:rowOff>60960</xdr:rowOff>
    </xdr:from>
    <xdr:to>
      <xdr:col>10</xdr:col>
      <xdr:colOff>22860</xdr:colOff>
      <xdr:row>6</xdr:row>
      <xdr:rowOff>60960</xdr:rowOff>
    </xdr:to>
    <xdr:sp macro="" textlink="">
      <xdr:nvSpPr>
        <xdr:cNvPr id="1098" name="Line 11"/>
        <xdr:cNvSpPr>
          <a:spLocks noChangeShapeType="1"/>
        </xdr:cNvSpPr>
      </xdr:nvSpPr>
      <xdr:spPr bwMode="auto">
        <a:xfrm flipH="1">
          <a:off x="9730740" y="1211580"/>
          <a:ext cx="12725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312420</xdr:colOff>
      <xdr:row>13</xdr:row>
      <xdr:rowOff>91440</xdr:rowOff>
    </xdr:from>
    <xdr:to>
      <xdr:col>8</xdr:col>
      <xdr:colOff>998220</xdr:colOff>
      <xdr:row>13</xdr:row>
      <xdr:rowOff>91440</xdr:rowOff>
    </xdr:to>
    <xdr:sp macro="" textlink="">
      <xdr:nvSpPr>
        <xdr:cNvPr id="1099" name="Line 12"/>
        <xdr:cNvSpPr>
          <a:spLocks noChangeShapeType="1"/>
        </xdr:cNvSpPr>
      </xdr:nvSpPr>
      <xdr:spPr bwMode="auto">
        <a:xfrm flipH="1">
          <a:off x="9654540" y="272034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83820</xdr:colOff>
      <xdr:row>8</xdr:row>
      <xdr:rowOff>114300</xdr:rowOff>
    </xdr:from>
    <xdr:ext cx="1198020" cy="579646"/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9451340" y="1760220"/>
          <a:ext cx="1198020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(ft)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472440</xdr:colOff>
      <xdr:row>11</xdr:row>
      <xdr:rowOff>38100</xdr:rowOff>
    </xdr:from>
    <xdr:to>
      <xdr:col>8</xdr:col>
      <xdr:colOff>472440</xdr:colOff>
      <xdr:row>13</xdr:row>
      <xdr:rowOff>91440</xdr:rowOff>
    </xdr:to>
    <xdr:sp macro="" textlink="">
      <xdr:nvSpPr>
        <xdr:cNvPr id="1101" name="Line 14"/>
        <xdr:cNvSpPr>
          <a:spLocks noChangeShapeType="1"/>
        </xdr:cNvSpPr>
      </xdr:nvSpPr>
      <xdr:spPr bwMode="auto">
        <a:xfrm>
          <a:off x="9814560" y="2270760"/>
          <a:ext cx="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472440</xdr:colOff>
      <xdr:row>6</xdr:row>
      <xdr:rowOff>60960</xdr:rowOff>
    </xdr:from>
    <xdr:to>
      <xdr:col>8</xdr:col>
      <xdr:colOff>472440</xdr:colOff>
      <xdr:row>8</xdr:row>
      <xdr:rowOff>190500</xdr:rowOff>
    </xdr:to>
    <xdr:sp macro="" textlink="">
      <xdr:nvSpPr>
        <xdr:cNvPr id="1102" name="Line 15"/>
        <xdr:cNvSpPr>
          <a:spLocks noChangeShapeType="1"/>
        </xdr:cNvSpPr>
      </xdr:nvSpPr>
      <xdr:spPr bwMode="auto">
        <a:xfrm flipV="1">
          <a:off x="9814560" y="1211580"/>
          <a:ext cx="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144780</xdr:colOff>
      <xdr:row>5</xdr:row>
      <xdr:rowOff>121920</xdr:rowOff>
    </xdr:from>
    <xdr:ext cx="1448538" cy="579646"/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14815820" y="1127760"/>
          <a:ext cx="1448538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Slope (&gt;3:1)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1478280</xdr:colOff>
      <xdr:row>13</xdr:row>
      <xdr:rowOff>106680</xdr:rowOff>
    </xdr:from>
    <xdr:to>
      <xdr:col>8</xdr:col>
      <xdr:colOff>1478280</xdr:colOff>
      <xdr:row>17</xdr:row>
      <xdr:rowOff>129540</xdr:rowOff>
    </xdr:to>
    <xdr:sp macro="" textlink="">
      <xdr:nvSpPr>
        <xdr:cNvPr id="1104" name="Line 17"/>
        <xdr:cNvSpPr>
          <a:spLocks noChangeShapeType="1"/>
        </xdr:cNvSpPr>
      </xdr:nvSpPr>
      <xdr:spPr bwMode="auto">
        <a:xfrm flipV="1">
          <a:off x="10340340" y="273558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426720</xdr:colOff>
      <xdr:row>13</xdr:row>
      <xdr:rowOff>129540</xdr:rowOff>
    </xdr:from>
    <xdr:to>
      <xdr:col>15</xdr:col>
      <xdr:colOff>426720</xdr:colOff>
      <xdr:row>17</xdr:row>
      <xdr:rowOff>160020</xdr:rowOff>
    </xdr:to>
    <xdr:sp macro="" textlink="">
      <xdr:nvSpPr>
        <xdr:cNvPr id="1105" name="Line 18"/>
        <xdr:cNvSpPr>
          <a:spLocks noChangeShapeType="1"/>
        </xdr:cNvSpPr>
      </xdr:nvSpPr>
      <xdr:spPr bwMode="auto">
        <a:xfrm flipV="1">
          <a:off x="15064740" y="2758440"/>
          <a:ext cx="0" cy="822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1485900</xdr:colOff>
      <xdr:row>17</xdr:row>
      <xdr:rowOff>0</xdr:rowOff>
    </xdr:from>
    <xdr:to>
      <xdr:col>11</xdr:col>
      <xdr:colOff>76200</xdr:colOff>
      <xdr:row>17</xdr:row>
      <xdr:rowOff>0</xdr:rowOff>
    </xdr:to>
    <xdr:sp macro="" textlink="">
      <xdr:nvSpPr>
        <xdr:cNvPr id="1106" name="Line 19"/>
        <xdr:cNvSpPr>
          <a:spLocks noChangeShapeType="1"/>
        </xdr:cNvSpPr>
      </xdr:nvSpPr>
      <xdr:spPr bwMode="auto">
        <a:xfrm flipH="1">
          <a:off x="10340340" y="3421380"/>
          <a:ext cx="1569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38100</xdr:colOff>
      <xdr:row>16</xdr:row>
      <xdr:rowOff>38100</xdr:rowOff>
    </xdr:from>
    <xdr:ext cx="1916166" cy="357790"/>
    <xdr:sp macro="" textlink="">
      <xdr:nvSpPr>
        <xdr:cNvPr id="1044" name="Text Box 20"/>
        <xdr:cNvSpPr txBox="1">
          <a:spLocks noChangeArrowheads="1"/>
        </xdr:cNvSpPr>
      </xdr:nvSpPr>
      <xdr:spPr bwMode="auto">
        <a:xfrm>
          <a:off x="11894820" y="3329940"/>
          <a:ext cx="1916166" cy="35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Bottom Width (ft)</a:t>
          </a:r>
        </a:p>
      </xdr:txBody>
    </xdr:sp>
    <xdr:clientData/>
  </xdr:oneCellAnchor>
  <xdr:twoCellAnchor>
    <xdr:from>
      <xdr:col>13</xdr:col>
      <xdr:colOff>480060</xdr:colOff>
      <xdr:row>17</xdr:row>
      <xdr:rowOff>0</xdr:rowOff>
    </xdr:from>
    <xdr:to>
      <xdr:col>15</xdr:col>
      <xdr:colOff>411480</xdr:colOff>
      <xdr:row>17</xdr:row>
      <xdr:rowOff>7620</xdr:rowOff>
    </xdr:to>
    <xdr:sp macro="" textlink="">
      <xdr:nvSpPr>
        <xdr:cNvPr id="1108" name="Line 21"/>
        <xdr:cNvSpPr>
          <a:spLocks noChangeShapeType="1"/>
        </xdr:cNvSpPr>
      </xdr:nvSpPr>
      <xdr:spPr bwMode="auto">
        <a:xfrm flipV="1">
          <a:off x="13815060" y="3421380"/>
          <a:ext cx="12344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1478280</xdr:colOff>
      <xdr:row>13</xdr:row>
      <xdr:rowOff>106680</xdr:rowOff>
    </xdr:from>
    <xdr:to>
      <xdr:col>8</xdr:col>
      <xdr:colOff>1478280</xdr:colOff>
      <xdr:row>17</xdr:row>
      <xdr:rowOff>129540</xdr:rowOff>
    </xdr:to>
    <xdr:sp macro="" textlink="">
      <xdr:nvSpPr>
        <xdr:cNvPr id="1109" name="Line 27"/>
        <xdr:cNvSpPr>
          <a:spLocks noChangeShapeType="1"/>
        </xdr:cNvSpPr>
      </xdr:nvSpPr>
      <xdr:spPr bwMode="auto">
        <a:xfrm flipV="1">
          <a:off x="10340340" y="273558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1485900</xdr:colOff>
      <xdr:row>17</xdr:row>
      <xdr:rowOff>0</xdr:rowOff>
    </xdr:from>
    <xdr:to>
      <xdr:col>11</xdr:col>
      <xdr:colOff>76200</xdr:colOff>
      <xdr:row>17</xdr:row>
      <xdr:rowOff>0</xdr:rowOff>
    </xdr:to>
    <xdr:sp macro="" textlink="">
      <xdr:nvSpPr>
        <xdr:cNvPr id="1110" name="Line 28"/>
        <xdr:cNvSpPr>
          <a:spLocks noChangeShapeType="1"/>
        </xdr:cNvSpPr>
      </xdr:nvSpPr>
      <xdr:spPr bwMode="auto">
        <a:xfrm flipH="1">
          <a:off x="10340340" y="3421380"/>
          <a:ext cx="1569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6</xdr:row>
      <xdr:rowOff>55880</xdr:rowOff>
    </xdr:from>
    <xdr:to>
      <xdr:col>15</xdr:col>
      <xdr:colOff>431733</xdr:colOff>
      <xdr:row>13</xdr:row>
      <xdr:rowOff>91385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10800000">
          <a:off x="10363200" y="1206500"/>
          <a:ext cx="4676073" cy="1513785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FCF305"/>
              </a:solidFill>
              <a:latin typeface="Arial"/>
              <a:cs typeface="Arial"/>
            </a:rPr>
            <a:t>      Sección transversal de la pila de ensilado   </a:t>
          </a:r>
        </a:p>
      </xdr:txBody>
    </xdr:sp>
    <xdr:clientData/>
  </xdr:twoCellAnchor>
  <xdr:twoCellAnchor>
    <xdr:from>
      <xdr:col>10</xdr:col>
      <xdr:colOff>548640</xdr:colOff>
      <xdr:row>0</xdr:row>
      <xdr:rowOff>182880</xdr:rowOff>
    </xdr:from>
    <xdr:to>
      <xdr:col>10</xdr:col>
      <xdr:colOff>548640</xdr:colOff>
      <xdr:row>5</xdr:row>
      <xdr:rowOff>137160</xdr:rowOff>
    </xdr:to>
    <xdr:sp macro="" textlink="">
      <xdr:nvSpPr>
        <xdr:cNvPr id="5122" name="Line 2"/>
        <xdr:cNvSpPr>
          <a:spLocks noChangeShapeType="1"/>
        </xdr:cNvSpPr>
      </xdr:nvSpPr>
      <xdr:spPr bwMode="auto">
        <a:xfrm flipV="1">
          <a:off x="11513820" y="182880"/>
          <a:ext cx="0" cy="937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533400</xdr:colOff>
      <xdr:row>0</xdr:row>
      <xdr:rowOff>182880</xdr:rowOff>
    </xdr:from>
    <xdr:to>
      <xdr:col>13</xdr:col>
      <xdr:colOff>533400</xdr:colOff>
      <xdr:row>5</xdr:row>
      <xdr:rowOff>137160</xdr:rowOff>
    </xdr:to>
    <xdr:sp macro="" textlink="">
      <xdr:nvSpPr>
        <xdr:cNvPr id="5123" name="Line 3"/>
        <xdr:cNvSpPr>
          <a:spLocks noChangeShapeType="1"/>
        </xdr:cNvSpPr>
      </xdr:nvSpPr>
      <xdr:spPr bwMode="auto">
        <a:xfrm flipV="1">
          <a:off x="13845540" y="182880"/>
          <a:ext cx="0" cy="9372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802640</xdr:colOff>
      <xdr:row>1</xdr:row>
      <xdr:rowOff>38100</xdr:rowOff>
    </xdr:from>
    <xdr:ext cx="2070760" cy="357790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1773486" y="233485"/>
          <a:ext cx="2070760" cy="35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Ancho del tope (ft)</a:t>
          </a:r>
        </a:p>
      </xdr:txBody>
    </xdr:sp>
    <xdr:clientData/>
  </xdr:oneCellAnchor>
  <xdr:twoCellAnchor>
    <xdr:from>
      <xdr:col>10</xdr:col>
      <xdr:colOff>548640</xdr:colOff>
      <xdr:row>2</xdr:row>
      <xdr:rowOff>15240</xdr:rowOff>
    </xdr:from>
    <xdr:to>
      <xdr:col>11</xdr:col>
      <xdr:colOff>0</xdr:colOff>
      <xdr:row>2</xdr:row>
      <xdr:rowOff>15240</xdr:rowOff>
    </xdr:to>
    <xdr:sp macro="" textlink="">
      <xdr:nvSpPr>
        <xdr:cNvPr id="5125" name="Line 5"/>
        <xdr:cNvSpPr>
          <a:spLocks noChangeShapeType="1"/>
        </xdr:cNvSpPr>
      </xdr:nvSpPr>
      <xdr:spPr bwMode="auto">
        <a:xfrm flipH="1">
          <a:off x="11513820" y="411480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30480</xdr:colOff>
      <xdr:row>2</xdr:row>
      <xdr:rowOff>0</xdr:rowOff>
    </xdr:from>
    <xdr:to>
      <xdr:col>13</xdr:col>
      <xdr:colOff>510540</xdr:colOff>
      <xdr:row>2</xdr:row>
      <xdr:rowOff>15240</xdr:rowOff>
    </xdr:to>
    <xdr:sp macro="" textlink="">
      <xdr:nvSpPr>
        <xdr:cNvPr id="5126" name="Line 6"/>
        <xdr:cNvSpPr>
          <a:spLocks noChangeShapeType="1"/>
        </xdr:cNvSpPr>
      </xdr:nvSpPr>
      <xdr:spPr bwMode="auto">
        <a:xfrm>
          <a:off x="13342620" y="396240"/>
          <a:ext cx="48006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144780</xdr:colOff>
      <xdr:row>7</xdr:row>
      <xdr:rowOff>76200</xdr:rowOff>
    </xdr:from>
    <xdr:to>
      <xdr:col>14</xdr:col>
      <xdr:colOff>624840</xdr:colOff>
      <xdr:row>7</xdr:row>
      <xdr:rowOff>76200</xdr:rowOff>
    </xdr:to>
    <xdr:sp macro="" textlink="">
      <xdr:nvSpPr>
        <xdr:cNvPr id="5127" name="Line 7"/>
        <xdr:cNvSpPr>
          <a:spLocks noChangeShapeType="1"/>
        </xdr:cNvSpPr>
      </xdr:nvSpPr>
      <xdr:spPr bwMode="auto">
        <a:xfrm>
          <a:off x="14127480" y="1493520"/>
          <a:ext cx="4800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609600</xdr:colOff>
      <xdr:row>7</xdr:row>
      <xdr:rowOff>76200</xdr:rowOff>
    </xdr:from>
    <xdr:to>
      <xdr:col>14</xdr:col>
      <xdr:colOff>609600</xdr:colOff>
      <xdr:row>10</xdr:row>
      <xdr:rowOff>76200</xdr:rowOff>
    </xdr:to>
    <xdr:sp macro="" textlink="">
      <xdr:nvSpPr>
        <xdr:cNvPr id="5128" name="Line 8"/>
        <xdr:cNvSpPr>
          <a:spLocks noChangeShapeType="1"/>
        </xdr:cNvSpPr>
      </xdr:nvSpPr>
      <xdr:spPr bwMode="auto">
        <a:xfrm>
          <a:off x="14592300" y="1493520"/>
          <a:ext cx="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116840</xdr:colOff>
      <xdr:row>7</xdr:row>
      <xdr:rowOff>114300</xdr:rowOff>
    </xdr:from>
    <xdr:ext cx="313034" cy="566822"/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4731609" y="1521069"/>
          <a:ext cx="313034" cy="566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1</a:t>
          </a:r>
        </a:p>
        <a:p>
          <a:pPr algn="l" rtl="0">
            <a:lnSpc>
              <a:spcPts val="16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>
    <xdr:from>
      <xdr:col>8</xdr:col>
      <xdr:colOff>388620</xdr:colOff>
      <xdr:row>6</xdr:row>
      <xdr:rowOff>60960</xdr:rowOff>
    </xdr:from>
    <xdr:to>
      <xdr:col>10</xdr:col>
      <xdr:colOff>22860</xdr:colOff>
      <xdr:row>6</xdr:row>
      <xdr:rowOff>60960</xdr:rowOff>
    </xdr:to>
    <xdr:sp macro="" textlink="">
      <xdr:nvSpPr>
        <xdr:cNvPr id="5130" name="Line 11"/>
        <xdr:cNvSpPr>
          <a:spLocks noChangeShapeType="1"/>
        </xdr:cNvSpPr>
      </xdr:nvSpPr>
      <xdr:spPr bwMode="auto">
        <a:xfrm flipH="1">
          <a:off x="9723120" y="1211580"/>
          <a:ext cx="12649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304800</xdr:colOff>
      <xdr:row>13</xdr:row>
      <xdr:rowOff>91440</xdr:rowOff>
    </xdr:from>
    <xdr:to>
      <xdr:col>8</xdr:col>
      <xdr:colOff>990600</xdr:colOff>
      <xdr:row>13</xdr:row>
      <xdr:rowOff>91440</xdr:rowOff>
    </xdr:to>
    <xdr:sp macro="" textlink="">
      <xdr:nvSpPr>
        <xdr:cNvPr id="5131" name="Line 12"/>
        <xdr:cNvSpPr>
          <a:spLocks noChangeShapeType="1"/>
        </xdr:cNvSpPr>
      </xdr:nvSpPr>
      <xdr:spPr bwMode="auto">
        <a:xfrm flipH="1">
          <a:off x="9639300" y="272034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88900</xdr:colOff>
      <xdr:row>8</xdr:row>
      <xdr:rowOff>114300</xdr:rowOff>
    </xdr:from>
    <xdr:ext cx="1428981" cy="566822"/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428285" y="1716454"/>
          <a:ext cx="1428981" cy="566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Altura (pies)</a:t>
          </a:r>
        </a:p>
        <a:p>
          <a:pPr algn="l" rtl="0">
            <a:lnSpc>
              <a:spcPts val="16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>
    <xdr:from>
      <xdr:col>8</xdr:col>
      <xdr:colOff>464820</xdr:colOff>
      <xdr:row>11</xdr:row>
      <xdr:rowOff>38100</xdr:rowOff>
    </xdr:from>
    <xdr:to>
      <xdr:col>8</xdr:col>
      <xdr:colOff>464820</xdr:colOff>
      <xdr:row>13</xdr:row>
      <xdr:rowOff>91440</xdr:rowOff>
    </xdr:to>
    <xdr:sp macro="" textlink="">
      <xdr:nvSpPr>
        <xdr:cNvPr id="5133" name="Line 14"/>
        <xdr:cNvSpPr>
          <a:spLocks noChangeShapeType="1"/>
        </xdr:cNvSpPr>
      </xdr:nvSpPr>
      <xdr:spPr bwMode="auto">
        <a:xfrm>
          <a:off x="9799320" y="2270760"/>
          <a:ext cx="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464820</xdr:colOff>
      <xdr:row>6</xdr:row>
      <xdr:rowOff>60960</xdr:rowOff>
    </xdr:from>
    <xdr:to>
      <xdr:col>8</xdr:col>
      <xdr:colOff>464820</xdr:colOff>
      <xdr:row>8</xdr:row>
      <xdr:rowOff>182880</xdr:rowOff>
    </xdr:to>
    <xdr:sp macro="" textlink="">
      <xdr:nvSpPr>
        <xdr:cNvPr id="5134" name="Line 15"/>
        <xdr:cNvSpPr>
          <a:spLocks noChangeShapeType="1"/>
        </xdr:cNvSpPr>
      </xdr:nvSpPr>
      <xdr:spPr bwMode="auto">
        <a:xfrm flipV="1">
          <a:off x="9799320" y="1211580"/>
          <a:ext cx="0" cy="5867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147320</xdr:colOff>
      <xdr:row>5</xdr:row>
      <xdr:rowOff>116840</xdr:rowOff>
    </xdr:from>
    <xdr:ext cx="1897764" cy="566822"/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4762089" y="1093763"/>
          <a:ext cx="1897764" cy="566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sk-SK"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rPr>
            <a:t>Pendiente (&gt;3:1)</a:t>
          </a:r>
        </a:p>
        <a:p>
          <a:pPr algn="l" rtl="0">
            <a:lnSpc>
              <a:spcPts val="1600"/>
            </a:lnSpc>
            <a:defRPr sz="1000"/>
          </a:pPr>
          <a:endParaRPr lang="sk-SK" sz="1800" b="0" i="0" u="none" strike="noStrike" baseline="0">
            <a:solidFill>
              <a:srgbClr val="000000"/>
            </a:solidFill>
            <a:latin typeface="Arial"/>
            <a:ea typeface="Arial"/>
            <a:cs typeface="Arial"/>
          </a:endParaRPr>
        </a:p>
      </xdr:txBody>
    </xdr:sp>
    <xdr:clientData/>
  </xdr:oneCellAnchor>
  <xdr:twoCellAnchor>
    <xdr:from>
      <xdr:col>8</xdr:col>
      <xdr:colOff>1470660</xdr:colOff>
      <xdr:row>13</xdr:row>
      <xdr:rowOff>106680</xdr:rowOff>
    </xdr:from>
    <xdr:to>
      <xdr:col>8</xdr:col>
      <xdr:colOff>1470660</xdr:colOff>
      <xdr:row>17</xdr:row>
      <xdr:rowOff>129540</xdr:rowOff>
    </xdr:to>
    <xdr:sp macro="" textlink="">
      <xdr:nvSpPr>
        <xdr:cNvPr id="5136" name="Line 17"/>
        <xdr:cNvSpPr>
          <a:spLocks noChangeShapeType="1"/>
        </xdr:cNvSpPr>
      </xdr:nvSpPr>
      <xdr:spPr bwMode="auto">
        <a:xfrm flipV="1">
          <a:off x="10325100" y="273558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434340</xdr:colOff>
      <xdr:row>13</xdr:row>
      <xdr:rowOff>129540</xdr:rowOff>
    </xdr:from>
    <xdr:to>
      <xdr:col>15</xdr:col>
      <xdr:colOff>434340</xdr:colOff>
      <xdr:row>17</xdr:row>
      <xdr:rowOff>160020</xdr:rowOff>
    </xdr:to>
    <xdr:sp macro="" textlink="">
      <xdr:nvSpPr>
        <xdr:cNvPr id="5137" name="Line 18"/>
        <xdr:cNvSpPr>
          <a:spLocks noChangeShapeType="1"/>
        </xdr:cNvSpPr>
      </xdr:nvSpPr>
      <xdr:spPr bwMode="auto">
        <a:xfrm flipV="1">
          <a:off x="15041880" y="2758440"/>
          <a:ext cx="0" cy="822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1470660</xdr:colOff>
      <xdr:row>17</xdr:row>
      <xdr:rowOff>0</xdr:rowOff>
    </xdr:from>
    <xdr:to>
      <xdr:col>11</xdr:col>
      <xdr:colOff>83820</xdr:colOff>
      <xdr:row>17</xdr:row>
      <xdr:rowOff>0</xdr:rowOff>
    </xdr:to>
    <xdr:sp macro="" textlink="">
      <xdr:nvSpPr>
        <xdr:cNvPr id="5138" name="Line 19"/>
        <xdr:cNvSpPr>
          <a:spLocks noChangeShapeType="1"/>
        </xdr:cNvSpPr>
      </xdr:nvSpPr>
      <xdr:spPr bwMode="auto">
        <a:xfrm flipH="1">
          <a:off x="10325100" y="3421380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38100</xdr:colOff>
      <xdr:row>16</xdr:row>
      <xdr:rowOff>38100</xdr:rowOff>
    </xdr:from>
    <xdr:ext cx="2314544" cy="357790"/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1858869" y="3232638"/>
          <a:ext cx="2314544" cy="357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Ancho de la base (ft)</a:t>
          </a:r>
        </a:p>
      </xdr:txBody>
    </xdr:sp>
    <xdr:clientData/>
  </xdr:oneCellAnchor>
  <xdr:twoCellAnchor>
    <xdr:from>
      <xdr:col>13</xdr:col>
      <xdr:colOff>480060</xdr:colOff>
      <xdr:row>17</xdr:row>
      <xdr:rowOff>0</xdr:rowOff>
    </xdr:from>
    <xdr:to>
      <xdr:col>15</xdr:col>
      <xdr:colOff>411480</xdr:colOff>
      <xdr:row>17</xdr:row>
      <xdr:rowOff>15240</xdr:rowOff>
    </xdr:to>
    <xdr:sp macro="" textlink="">
      <xdr:nvSpPr>
        <xdr:cNvPr id="5140" name="Line 21"/>
        <xdr:cNvSpPr>
          <a:spLocks noChangeShapeType="1"/>
        </xdr:cNvSpPr>
      </xdr:nvSpPr>
      <xdr:spPr bwMode="auto">
        <a:xfrm flipV="1">
          <a:off x="13792200" y="3421380"/>
          <a:ext cx="1226820" cy="152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1470660</xdr:colOff>
      <xdr:row>13</xdr:row>
      <xdr:rowOff>106680</xdr:rowOff>
    </xdr:from>
    <xdr:to>
      <xdr:col>8</xdr:col>
      <xdr:colOff>1470660</xdr:colOff>
      <xdr:row>17</xdr:row>
      <xdr:rowOff>129540</xdr:rowOff>
    </xdr:to>
    <xdr:sp macro="" textlink="">
      <xdr:nvSpPr>
        <xdr:cNvPr id="5141" name="Line 27"/>
        <xdr:cNvSpPr>
          <a:spLocks noChangeShapeType="1"/>
        </xdr:cNvSpPr>
      </xdr:nvSpPr>
      <xdr:spPr bwMode="auto">
        <a:xfrm flipV="1">
          <a:off x="10325100" y="273558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1470660</xdr:colOff>
      <xdr:row>17</xdr:row>
      <xdr:rowOff>0</xdr:rowOff>
    </xdr:from>
    <xdr:to>
      <xdr:col>11</xdr:col>
      <xdr:colOff>83820</xdr:colOff>
      <xdr:row>17</xdr:row>
      <xdr:rowOff>0</xdr:rowOff>
    </xdr:to>
    <xdr:sp macro="" textlink="">
      <xdr:nvSpPr>
        <xdr:cNvPr id="5142" name="Line 28"/>
        <xdr:cNvSpPr>
          <a:spLocks noChangeShapeType="1"/>
        </xdr:cNvSpPr>
      </xdr:nvSpPr>
      <xdr:spPr bwMode="auto">
        <a:xfrm flipH="1">
          <a:off x="10325100" y="3421380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1546860</xdr:colOff>
      <xdr:row>5</xdr:row>
      <xdr:rowOff>7620</xdr:rowOff>
    </xdr:from>
    <xdr:to>
      <xdr:col>15</xdr:col>
      <xdr:colOff>434340</xdr:colOff>
      <xdr:row>12</xdr:row>
      <xdr:rowOff>91440</xdr:rowOff>
    </xdr:to>
    <xdr:sp macro="" textlink="">
      <xdr:nvSpPr>
        <xdr:cNvPr id="2049" name="AutoShape 1"/>
        <xdr:cNvSpPr>
          <a:spLocks noChangeArrowheads="1"/>
        </xdr:cNvSpPr>
      </xdr:nvSpPr>
      <xdr:spPr bwMode="auto">
        <a:xfrm rot="10800000">
          <a:off x="10942320" y="990600"/>
          <a:ext cx="4991100" cy="1562100"/>
        </a:xfrm>
        <a:custGeom>
          <a:avLst/>
          <a:gdLst>
            <a:gd name="G0" fmla="+- 5400 0 0"/>
            <a:gd name="G1" fmla="+- 21600 0 5400"/>
            <a:gd name="G2" fmla="*/ 5400 1 2"/>
            <a:gd name="G3" fmla="+- 21600 0 G2"/>
            <a:gd name="G4" fmla="+/ 5400 21600 2"/>
            <a:gd name="G5" fmla="+/ G1 0 2"/>
            <a:gd name="G6" fmla="*/ 21600 21600 5400"/>
            <a:gd name="G7" fmla="*/ G6 1 2"/>
            <a:gd name="G8" fmla="+- 21600 0 G7"/>
            <a:gd name="G9" fmla="*/ 21600 1 2"/>
            <a:gd name="G10" fmla="+- 5400 0 G9"/>
            <a:gd name="G11" fmla="?: G10 G8 0"/>
            <a:gd name="G12" fmla="?: G10 G7 21600"/>
            <a:gd name="T0" fmla="*/ 18900 w 21600"/>
            <a:gd name="T1" fmla="*/ 10800 h 21600"/>
            <a:gd name="T2" fmla="*/ 10800 w 21600"/>
            <a:gd name="T3" fmla="*/ 21600 h 21600"/>
            <a:gd name="T4" fmla="*/ 2700 w 21600"/>
            <a:gd name="T5" fmla="*/ 10800 h 21600"/>
            <a:gd name="T6" fmla="*/ 10800 w 21600"/>
            <a:gd name="T7" fmla="*/ 0 h 21600"/>
            <a:gd name="T8" fmla="*/ 4500 w 21600"/>
            <a:gd name="T9" fmla="*/ 4500 h 21600"/>
            <a:gd name="T10" fmla="*/ 17100 w 21600"/>
            <a:gd name="T11" fmla="*/ 17100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</a:cxnLst>
          <a:rect l="T8" t="T9" r="T10" b="T11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008000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0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</a:t>
          </a:r>
          <a:r>
            <a:rPr lang="en-US" sz="1800" b="0" i="0" u="none" strike="noStrike" baseline="0">
              <a:solidFill>
                <a:srgbClr val="FCF305"/>
              </a:solidFill>
              <a:latin typeface="Arial"/>
              <a:cs typeface="Arial"/>
            </a:rPr>
            <a:t>       </a:t>
          </a:r>
          <a:r>
            <a:rPr lang="en-US" sz="1800" b="1" i="0" u="none" strike="noStrike" baseline="0">
              <a:solidFill>
                <a:srgbClr val="FCF305"/>
              </a:solidFill>
              <a:latin typeface="Arial"/>
              <a:cs typeface="Arial"/>
            </a:rPr>
            <a:t>Silage Pile</a:t>
          </a:r>
        </a:p>
        <a:p>
          <a:pPr algn="l" rtl="0">
            <a:defRPr sz="1000"/>
          </a:pPr>
          <a:r>
            <a:rPr lang="en-US" sz="1800" b="1" i="0" u="none" strike="noStrike" baseline="0">
              <a:solidFill>
                <a:srgbClr val="FCF305"/>
              </a:solidFill>
              <a:latin typeface="Arial"/>
              <a:cs typeface="Arial"/>
            </a:rPr>
            <a:t>      Cross Section</a:t>
          </a:r>
        </a:p>
      </xdr:txBody>
    </xdr:sp>
    <xdr:clientData/>
  </xdr:twoCellAnchor>
  <xdr:twoCellAnchor>
    <xdr:from>
      <xdr:col>10</xdr:col>
      <xdr:colOff>320040</xdr:colOff>
      <xdr:row>0</xdr:row>
      <xdr:rowOff>160020</xdr:rowOff>
    </xdr:from>
    <xdr:to>
      <xdr:col>10</xdr:col>
      <xdr:colOff>320040</xdr:colOff>
      <xdr:row>5</xdr:row>
      <xdr:rowOff>106680</xdr:rowOff>
    </xdr:to>
    <xdr:sp macro="" textlink="">
      <xdr:nvSpPr>
        <xdr:cNvPr id="2107" name="Line 2"/>
        <xdr:cNvSpPr>
          <a:spLocks noChangeShapeType="1"/>
        </xdr:cNvSpPr>
      </xdr:nvSpPr>
      <xdr:spPr bwMode="auto">
        <a:xfrm flipV="1">
          <a:off x="12047220" y="160020"/>
          <a:ext cx="0" cy="929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441960</xdr:colOff>
      <xdr:row>0</xdr:row>
      <xdr:rowOff>76200</xdr:rowOff>
    </xdr:from>
    <xdr:to>
      <xdr:col>13</xdr:col>
      <xdr:colOff>441960</xdr:colOff>
      <xdr:row>5</xdr:row>
      <xdr:rowOff>22860</xdr:rowOff>
    </xdr:to>
    <xdr:sp macro="" textlink="">
      <xdr:nvSpPr>
        <xdr:cNvPr id="2108" name="Line 3"/>
        <xdr:cNvSpPr>
          <a:spLocks noChangeShapeType="1"/>
        </xdr:cNvSpPr>
      </xdr:nvSpPr>
      <xdr:spPr bwMode="auto">
        <a:xfrm flipV="1">
          <a:off x="14706600" y="76200"/>
          <a:ext cx="0" cy="929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0</xdr:colOff>
      <xdr:row>0</xdr:row>
      <xdr:rowOff>0</xdr:rowOff>
    </xdr:from>
    <xdr:ext cx="1646733" cy="579646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12486640" y="0"/>
          <a:ext cx="1646733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Top Width (m)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10</xdr:col>
      <xdr:colOff>320040</xdr:colOff>
      <xdr:row>1</xdr:row>
      <xdr:rowOff>7620</xdr:rowOff>
    </xdr:from>
    <xdr:to>
      <xdr:col>11</xdr:col>
      <xdr:colOff>91440</xdr:colOff>
      <xdr:row>1</xdr:row>
      <xdr:rowOff>7620</xdr:rowOff>
    </xdr:to>
    <xdr:sp macro="" textlink="">
      <xdr:nvSpPr>
        <xdr:cNvPr id="2110" name="Line 5"/>
        <xdr:cNvSpPr>
          <a:spLocks noChangeShapeType="1"/>
        </xdr:cNvSpPr>
      </xdr:nvSpPr>
      <xdr:spPr bwMode="auto">
        <a:xfrm flipH="1">
          <a:off x="12047220" y="205740"/>
          <a:ext cx="525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205740</xdr:colOff>
      <xdr:row>6</xdr:row>
      <xdr:rowOff>76200</xdr:rowOff>
    </xdr:from>
    <xdr:to>
      <xdr:col>15</xdr:col>
      <xdr:colOff>60960</xdr:colOff>
      <xdr:row>6</xdr:row>
      <xdr:rowOff>76200</xdr:rowOff>
    </xdr:to>
    <xdr:sp macro="" textlink="">
      <xdr:nvSpPr>
        <xdr:cNvPr id="2111" name="Line 7"/>
        <xdr:cNvSpPr>
          <a:spLocks noChangeShapeType="1"/>
        </xdr:cNvSpPr>
      </xdr:nvSpPr>
      <xdr:spPr bwMode="auto">
        <a:xfrm>
          <a:off x="14942820" y="1325880"/>
          <a:ext cx="6172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60960</xdr:colOff>
      <xdr:row>6</xdr:row>
      <xdr:rowOff>76200</xdr:rowOff>
    </xdr:from>
    <xdr:to>
      <xdr:col>15</xdr:col>
      <xdr:colOff>60960</xdr:colOff>
      <xdr:row>9</xdr:row>
      <xdr:rowOff>76200</xdr:rowOff>
    </xdr:to>
    <xdr:sp macro="" textlink="">
      <xdr:nvSpPr>
        <xdr:cNvPr id="2112" name="Line 8"/>
        <xdr:cNvSpPr>
          <a:spLocks noChangeShapeType="1"/>
        </xdr:cNvSpPr>
      </xdr:nvSpPr>
      <xdr:spPr bwMode="auto">
        <a:xfrm>
          <a:off x="15560040" y="1325880"/>
          <a:ext cx="0" cy="5943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83820</xdr:colOff>
      <xdr:row>7</xdr:row>
      <xdr:rowOff>114300</xdr:rowOff>
    </xdr:from>
    <xdr:ext cx="313034" cy="579646"/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15598140" y="1587500"/>
          <a:ext cx="313034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449580</xdr:colOff>
      <xdr:row>5</xdr:row>
      <xdr:rowOff>7620</xdr:rowOff>
    </xdr:from>
    <xdr:to>
      <xdr:col>10</xdr:col>
      <xdr:colOff>91440</xdr:colOff>
      <xdr:row>5</xdr:row>
      <xdr:rowOff>7620</xdr:rowOff>
    </xdr:to>
    <xdr:sp macro="" textlink="">
      <xdr:nvSpPr>
        <xdr:cNvPr id="2114" name="Line 11"/>
        <xdr:cNvSpPr>
          <a:spLocks noChangeShapeType="1"/>
        </xdr:cNvSpPr>
      </xdr:nvSpPr>
      <xdr:spPr bwMode="auto">
        <a:xfrm flipH="1">
          <a:off x="9845040" y="990600"/>
          <a:ext cx="1973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381000</xdr:colOff>
      <xdr:row>12</xdr:row>
      <xdr:rowOff>91440</xdr:rowOff>
    </xdr:from>
    <xdr:to>
      <xdr:col>8</xdr:col>
      <xdr:colOff>1402080</xdr:colOff>
      <xdr:row>12</xdr:row>
      <xdr:rowOff>91440</xdr:rowOff>
    </xdr:to>
    <xdr:sp macro="" textlink="">
      <xdr:nvSpPr>
        <xdr:cNvPr id="2115" name="Line 12"/>
        <xdr:cNvSpPr>
          <a:spLocks noChangeShapeType="1"/>
        </xdr:cNvSpPr>
      </xdr:nvSpPr>
      <xdr:spPr bwMode="auto">
        <a:xfrm flipH="1">
          <a:off x="9776460" y="2552700"/>
          <a:ext cx="1021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8</xdr:col>
      <xdr:colOff>144780</xdr:colOff>
      <xdr:row>7</xdr:row>
      <xdr:rowOff>114300</xdr:rowOff>
    </xdr:from>
    <xdr:ext cx="1262077" cy="579646"/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9542780" y="1587500"/>
          <a:ext cx="1262077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Height (m)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8</xdr:col>
      <xdr:colOff>525780</xdr:colOff>
      <xdr:row>10</xdr:row>
      <xdr:rowOff>38100</xdr:rowOff>
    </xdr:from>
    <xdr:to>
      <xdr:col>8</xdr:col>
      <xdr:colOff>525780</xdr:colOff>
      <xdr:row>12</xdr:row>
      <xdr:rowOff>91440</xdr:rowOff>
    </xdr:to>
    <xdr:sp macro="" textlink="">
      <xdr:nvSpPr>
        <xdr:cNvPr id="2117" name="Line 14"/>
        <xdr:cNvSpPr>
          <a:spLocks noChangeShapeType="1"/>
        </xdr:cNvSpPr>
      </xdr:nvSpPr>
      <xdr:spPr bwMode="auto">
        <a:xfrm>
          <a:off x="9921240" y="2103120"/>
          <a:ext cx="0" cy="4495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525780</xdr:colOff>
      <xdr:row>5</xdr:row>
      <xdr:rowOff>7620</xdr:rowOff>
    </xdr:from>
    <xdr:to>
      <xdr:col>8</xdr:col>
      <xdr:colOff>525780</xdr:colOff>
      <xdr:row>7</xdr:row>
      <xdr:rowOff>190500</xdr:rowOff>
    </xdr:to>
    <xdr:sp macro="" textlink="">
      <xdr:nvSpPr>
        <xdr:cNvPr id="2118" name="Line 15"/>
        <xdr:cNvSpPr>
          <a:spLocks noChangeShapeType="1"/>
        </xdr:cNvSpPr>
      </xdr:nvSpPr>
      <xdr:spPr bwMode="auto">
        <a:xfrm flipV="1">
          <a:off x="9921240" y="99060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15</xdr:col>
      <xdr:colOff>205740</xdr:colOff>
      <xdr:row>5</xdr:row>
      <xdr:rowOff>114300</xdr:rowOff>
    </xdr:from>
    <xdr:ext cx="1448538" cy="579646"/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15720060" y="1120140"/>
          <a:ext cx="1448538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Slope (&gt;3:1)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15</xdr:col>
      <xdr:colOff>464820</xdr:colOff>
      <xdr:row>13</xdr:row>
      <xdr:rowOff>15240</xdr:rowOff>
    </xdr:from>
    <xdr:to>
      <xdr:col>15</xdr:col>
      <xdr:colOff>464820</xdr:colOff>
      <xdr:row>17</xdr:row>
      <xdr:rowOff>45720</xdr:rowOff>
    </xdr:to>
    <xdr:sp macro="" textlink="">
      <xdr:nvSpPr>
        <xdr:cNvPr id="2120" name="Line 19"/>
        <xdr:cNvSpPr>
          <a:spLocks noChangeShapeType="1"/>
        </xdr:cNvSpPr>
      </xdr:nvSpPr>
      <xdr:spPr bwMode="auto">
        <a:xfrm flipV="1">
          <a:off x="15963900" y="2674620"/>
          <a:ext cx="0" cy="822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335280</xdr:colOff>
      <xdr:row>16</xdr:row>
      <xdr:rowOff>83820</xdr:rowOff>
    </xdr:from>
    <xdr:to>
      <xdr:col>15</xdr:col>
      <xdr:colOff>441960</xdr:colOff>
      <xdr:row>16</xdr:row>
      <xdr:rowOff>83820</xdr:rowOff>
    </xdr:to>
    <xdr:sp macro="" textlink="">
      <xdr:nvSpPr>
        <xdr:cNvPr id="2121" name="Line 20"/>
        <xdr:cNvSpPr>
          <a:spLocks noChangeShapeType="1"/>
        </xdr:cNvSpPr>
      </xdr:nvSpPr>
      <xdr:spPr bwMode="auto">
        <a:xfrm>
          <a:off x="14599920" y="3337560"/>
          <a:ext cx="13411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1554480</xdr:colOff>
      <xdr:row>12</xdr:row>
      <xdr:rowOff>190500</xdr:rowOff>
    </xdr:from>
    <xdr:to>
      <xdr:col>8</xdr:col>
      <xdr:colOff>1554480</xdr:colOff>
      <xdr:row>17</xdr:row>
      <xdr:rowOff>15240</xdr:rowOff>
    </xdr:to>
    <xdr:sp macro="" textlink="">
      <xdr:nvSpPr>
        <xdr:cNvPr id="2122" name="Line 21"/>
        <xdr:cNvSpPr>
          <a:spLocks noChangeShapeType="1"/>
        </xdr:cNvSpPr>
      </xdr:nvSpPr>
      <xdr:spPr bwMode="auto">
        <a:xfrm flipV="1">
          <a:off x="10949940" y="2651760"/>
          <a:ext cx="0" cy="8153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1562100</xdr:colOff>
      <xdr:row>16</xdr:row>
      <xdr:rowOff>83820</xdr:rowOff>
    </xdr:from>
    <xdr:to>
      <xdr:col>11</xdr:col>
      <xdr:colOff>45720</xdr:colOff>
      <xdr:row>16</xdr:row>
      <xdr:rowOff>83820</xdr:rowOff>
    </xdr:to>
    <xdr:sp macro="" textlink="">
      <xdr:nvSpPr>
        <xdr:cNvPr id="2123" name="Line 22"/>
        <xdr:cNvSpPr>
          <a:spLocks noChangeShapeType="1"/>
        </xdr:cNvSpPr>
      </xdr:nvSpPr>
      <xdr:spPr bwMode="auto">
        <a:xfrm flipH="1">
          <a:off x="10957560" y="3337560"/>
          <a:ext cx="1569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11</xdr:col>
      <xdr:colOff>7620</xdr:colOff>
      <xdr:row>15</xdr:row>
      <xdr:rowOff>83820</xdr:rowOff>
    </xdr:from>
    <xdr:ext cx="1980222" cy="579646"/>
    <xdr:sp macro="" textlink="">
      <xdr:nvSpPr>
        <xdr:cNvPr id="2071" name="Text Box 23"/>
        <xdr:cNvSpPr txBox="1">
          <a:spLocks noChangeArrowheads="1"/>
        </xdr:cNvSpPr>
      </xdr:nvSpPr>
      <xdr:spPr bwMode="auto">
        <a:xfrm>
          <a:off x="12494260" y="3202940"/>
          <a:ext cx="1980222" cy="5796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lnSpc>
              <a:spcPts val="1800"/>
            </a:lnSpc>
            <a:defRPr sz="1000"/>
          </a:pP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Bottom Width (m)</a:t>
          </a:r>
        </a:p>
        <a:p>
          <a:pPr algn="l" rtl="0">
            <a:lnSpc>
              <a:spcPts val="1700"/>
            </a:lnSpc>
            <a:defRPr sz="1000"/>
          </a:pPr>
          <a:endParaRPr lang="en-US" sz="1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oneCellAnchor>
  <xdr:twoCellAnchor>
    <xdr:from>
      <xdr:col>12</xdr:col>
      <xdr:colOff>38100</xdr:colOff>
      <xdr:row>1</xdr:row>
      <xdr:rowOff>0</xdr:rowOff>
    </xdr:from>
    <xdr:to>
      <xdr:col>14</xdr:col>
      <xdr:colOff>0</xdr:colOff>
      <xdr:row>1</xdr:row>
      <xdr:rowOff>0</xdr:rowOff>
    </xdr:to>
    <xdr:sp macro="" textlink="">
      <xdr:nvSpPr>
        <xdr:cNvPr id="2125" name="Line 27"/>
        <xdr:cNvSpPr>
          <a:spLocks noChangeShapeType="1"/>
        </xdr:cNvSpPr>
      </xdr:nvSpPr>
      <xdr:spPr bwMode="auto">
        <a:xfrm>
          <a:off x="14135100" y="198120"/>
          <a:ext cx="6019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518160</xdr:colOff>
      <xdr:row>7</xdr:row>
      <xdr:rowOff>22860</xdr:rowOff>
    </xdr:from>
    <xdr:to>
      <xdr:col>16</xdr:col>
      <xdr:colOff>7620</xdr:colOff>
      <xdr:row>13</xdr:row>
      <xdr:rowOff>0</xdr:rowOff>
    </xdr:to>
    <xdr:sp macro="" textlink="">
      <xdr:nvSpPr>
        <xdr:cNvPr id="4207" name="AutoShape 1"/>
        <xdr:cNvSpPr>
          <a:spLocks noChangeArrowheads="1"/>
        </xdr:cNvSpPr>
      </xdr:nvSpPr>
      <xdr:spPr bwMode="auto">
        <a:xfrm rot="10800000">
          <a:off x="11155680" y="1531620"/>
          <a:ext cx="6019800" cy="1249680"/>
        </a:xfrm>
        <a:custGeom>
          <a:avLst/>
          <a:gdLst>
            <a:gd name="T0" fmla="*/ 1334070174 w 21600"/>
            <a:gd name="T1" fmla="*/ 36150465 h 21600"/>
            <a:gd name="T2" fmla="*/ 838842408 w 21600"/>
            <a:gd name="T3" fmla="*/ 72300931 h 21600"/>
            <a:gd name="T4" fmla="*/ 343614643 w 21600"/>
            <a:gd name="T5" fmla="*/ 36150465 h 21600"/>
            <a:gd name="T6" fmla="*/ 838842408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6224 w 21600"/>
            <a:gd name="T13" fmla="*/ 6224 h 21600"/>
            <a:gd name="T14" fmla="*/ 15376 w 21600"/>
            <a:gd name="T15" fmla="*/ 15376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8847" y="21600"/>
              </a:lnTo>
              <a:lnTo>
                <a:pt x="12753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solidFill>
          <a:srgbClr val="1FB714"/>
        </a:solidFill>
        <a:ln w="285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205740</xdr:colOff>
      <xdr:row>14</xdr:row>
      <xdr:rowOff>243840</xdr:rowOff>
    </xdr:from>
    <xdr:to>
      <xdr:col>15</xdr:col>
      <xdr:colOff>594360</xdr:colOff>
      <xdr:row>14</xdr:row>
      <xdr:rowOff>243840</xdr:rowOff>
    </xdr:to>
    <xdr:sp macro="" textlink="">
      <xdr:nvSpPr>
        <xdr:cNvPr id="4208" name="Line 18"/>
        <xdr:cNvSpPr>
          <a:spLocks noChangeShapeType="1"/>
        </xdr:cNvSpPr>
      </xdr:nvSpPr>
      <xdr:spPr bwMode="auto">
        <a:xfrm>
          <a:off x="14874240" y="3261360"/>
          <a:ext cx="2263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601980</xdr:colOff>
      <xdr:row>14</xdr:row>
      <xdr:rowOff>251460</xdr:rowOff>
    </xdr:from>
    <xdr:to>
      <xdr:col>10</xdr:col>
      <xdr:colOff>76200</xdr:colOff>
      <xdr:row>14</xdr:row>
      <xdr:rowOff>251460</xdr:rowOff>
    </xdr:to>
    <xdr:sp macro="" textlink="">
      <xdr:nvSpPr>
        <xdr:cNvPr id="4209" name="Line 20"/>
        <xdr:cNvSpPr>
          <a:spLocks noChangeShapeType="1"/>
        </xdr:cNvSpPr>
      </xdr:nvSpPr>
      <xdr:spPr bwMode="auto">
        <a:xfrm flipH="1">
          <a:off x="11239500" y="3268980"/>
          <a:ext cx="1455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10</xdr:col>
      <xdr:colOff>45720</xdr:colOff>
      <xdr:row>14</xdr:row>
      <xdr:rowOff>83820</xdr:rowOff>
    </xdr:from>
    <xdr:to>
      <xdr:col>12</xdr:col>
      <xdr:colOff>129540</xdr:colOff>
      <xdr:row>15</xdr:row>
      <xdr:rowOff>38100</xdr:rowOff>
    </xdr:to>
    <xdr:sp macro="" textlink="">
      <xdr:nvSpPr>
        <xdr:cNvPr id="4117" name="Text Box 21"/>
        <xdr:cNvSpPr txBox="1">
          <a:spLocks noChangeArrowheads="1"/>
        </xdr:cNvSpPr>
      </xdr:nvSpPr>
      <xdr:spPr bwMode="auto">
        <a:xfrm>
          <a:off x="12664440" y="3101340"/>
          <a:ext cx="213360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DD0806"/>
              </a:solidFill>
              <a:latin typeface="Trebuchet MS"/>
            </a:rPr>
            <a:t>Ancho de la base (m) </a:t>
          </a:r>
        </a:p>
      </xdr:txBody>
    </xdr:sp>
    <xdr:clientData/>
  </xdr:twoCellAnchor>
  <xdr:twoCellAnchor>
    <xdr:from>
      <xdr:col>11</xdr:col>
      <xdr:colOff>7620</xdr:colOff>
      <xdr:row>5</xdr:row>
      <xdr:rowOff>38100</xdr:rowOff>
    </xdr:from>
    <xdr:to>
      <xdr:col>11</xdr:col>
      <xdr:colOff>7620</xdr:colOff>
      <xdr:row>6</xdr:row>
      <xdr:rowOff>160020</xdr:rowOff>
    </xdr:to>
    <xdr:sp macro="" textlink="">
      <xdr:nvSpPr>
        <xdr:cNvPr id="4211" name="Line 31"/>
        <xdr:cNvSpPr>
          <a:spLocks noChangeShapeType="1"/>
        </xdr:cNvSpPr>
      </xdr:nvSpPr>
      <xdr:spPr bwMode="auto">
        <a:xfrm flipV="1">
          <a:off x="13609320" y="1120140"/>
          <a:ext cx="0" cy="3581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5</xdr:row>
      <xdr:rowOff>53340</xdr:rowOff>
    </xdr:from>
    <xdr:to>
      <xdr:col>12</xdr:col>
      <xdr:colOff>7620</xdr:colOff>
      <xdr:row>6</xdr:row>
      <xdr:rowOff>182880</xdr:rowOff>
    </xdr:to>
    <xdr:sp macro="" textlink="">
      <xdr:nvSpPr>
        <xdr:cNvPr id="4212" name="Freeform 32"/>
        <xdr:cNvSpPr>
          <a:spLocks/>
        </xdr:cNvSpPr>
      </xdr:nvSpPr>
      <xdr:spPr bwMode="auto">
        <a:xfrm>
          <a:off x="14668500" y="1135380"/>
          <a:ext cx="7620" cy="365760"/>
        </a:xfrm>
        <a:custGeom>
          <a:avLst/>
          <a:gdLst>
            <a:gd name="T0" fmla="*/ 0 w 1"/>
            <a:gd name="T1" fmla="*/ 365760 h 47"/>
            <a:gd name="T2" fmla="*/ 0 w 1"/>
            <a:gd name="T3" fmla="*/ 0 h 47"/>
            <a:gd name="T4" fmla="*/ 0 60000 65536"/>
            <a:gd name="T5" fmla="*/ 0 60000 65536"/>
            <a:gd name="T6" fmla="*/ 0 w 1"/>
            <a:gd name="T7" fmla="*/ 0 h 47"/>
            <a:gd name="T8" fmla="*/ 1 w 1"/>
            <a:gd name="T9" fmla="*/ 47 h 4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" h="47">
              <a:moveTo>
                <a:pt x="0" y="47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38100</xdr:colOff>
      <xdr:row>6</xdr:row>
      <xdr:rowOff>76200</xdr:rowOff>
    </xdr:from>
    <xdr:to>
      <xdr:col>12</xdr:col>
      <xdr:colOff>30480</xdr:colOff>
      <xdr:row>6</xdr:row>
      <xdr:rowOff>106680</xdr:rowOff>
    </xdr:to>
    <xdr:sp macro="" textlink="">
      <xdr:nvSpPr>
        <xdr:cNvPr id="4213" name="Freeform 34"/>
        <xdr:cNvSpPr>
          <a:spLocks/>
        </xdr:cNvSpPr>
      </xdr:nvSpPr>
      <xdr:spPr bwMode="auto">
        <a:xfrm>
          <a:off x="13639800" y="1394460"/>
          <a:ext cx="1059180" cy="30480"/>
        </a:xfrm>
        <a:custGeom>
          <a:avLst/>
          <a:gdLst>
            <a:gd name="T0" fmla="*/ 1059180 w 129"/>
            <a:gd name="T1" fmla="*/ 0 h 1"/>
            <a:gd name="T2" fmla="*/ 0 w 129"/>
            <a:gd name="T3" fmla="*/ 0 h 1"/>
            <a:gd name="T4" fmla="*/ 0 60000 65536"/>
            <a:gd name="T5" fmla="*/ 0 60000 65536"/>
            <a:gd name="T6" fmla="*/ 0 w 129"/>
            <a:gd name="T7" fmla="*/ 0 h 1"/>
            <a:gd name="T8" fmla="*/ 129 w 129"/>
            <a:gd name="T9" fmla="*/ 1 h 1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29" h="1">
              <a:moveTo>
                <a:pt x="129" y="0"/>
              </a:moveTo>
              <a:lnTo>
                <a:pt x="0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388620</xdr:colOff>
      <xdr:row>12</xdr:row>
      <xdr:rowOff>121920</xdr:rowOff>
    </xdr:from>
    <xdr:to>
      <xdr:col>15</xdr:col>
      <xdr:colOff>579120</xdr:colOff>
      <xdr:row>12</xdr:row>
      <xdr:rowOff>129540</xdr:rowOff>
    </xdr:to>
    <xdr:sp macro="" textlink="">
      <xdr:nvSpPr>
        <xdr:cNvPr id="4214" name="Line 36"/>
        <xdr:cNvSpPr>
          <a:spLocks noChangeShapeType="1"/>
        </xdr:cNvSpPr>
      </xdr:nvSpPr>
      <xdr:spPr bwMode="auto">
        <a:xfrm>
          <a:off x="15057120" y="2697480"/>
          <a:ext cx="2065020" cy="7620"/>
        </a:xfrm>
        <a:prstGeom prst="line">
          <a:avLst/>
        </a:prstGeom>
        <a:noFill/>
        <a:ln w="2857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419100</xdr:colOff>
      <xdr:row>8</xdr:row>
      <xdr:rowOff>22860</xdr:rowOff>
    </xdr:from>
    <xdr:to>
      <xdr:col>12</xdr:col>
      <xdr:colOff>441960</xdr:colOff>
      <xdr:row>12</xdr:row>
      <xdr:rowOff>137160</xdr:rowOff>
    </xdr:to>
    <xdr:sp macro="" textlink="">
      <xdr:nvSpPr>
        <xdr:cNvPr id="4215" name="Line 37"/>
        <xdr:cNvSpPr>
          <a:spLocks noChangeShapeType="1"/>
        </xdr:cNvSpPr>
      </xdr:nvSpPr>
      <xdr:spPr bwMode="auto">
        <a:xfrm>
          <a:off x="15087600" y="1737360"/>
          <a:ext cx="22860" cy="975360"/>
        </a:xfrm>
        <a:prstGeom prst="line">
          <a:avLst/>
        </a:prstGeom>
        <a:noFill/>
        <a:ln w="28575">
          <a:solidFill>
            <a:srgbClr val="FFFFF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12</xdr:col>
      <xdr:colOff>457200</xdr:colOff>
      <xdr:row>9</xdr:row>
      <xdr:rowOff>30480</xdr:rowOff>
    </xdr:from>
    <xdr:to>
      <xdr:col>13</xdr:col>
      <xdr:colOff>99060</xdr:colOff>
      <xdr:row>10</xdr:row>
      <xdr:rowOff>114300</xdr:rowOff>
    </xdr:to>
    <xdr:sp macro="" textlink="">
      <xdr:nvSpPr>
        <xdr:cNvPr id="4135" name="Text Box 39"/>
        <xdr:cNvSpPr txBox="1">
          <a:spLocks noChangeArrowheads="1"/>
        </xdr:cNvSpPr>
      </xdr:nvSpPr>
      <xdr:spPr bwMode="auto">
        <a:xfrm>
          <a:off x="15125700" y="1958340"/>
          <a:ext cx="266700" cy="32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FFFFFF"/>
              </a:solidFill>
              <a:latin typeface="Trebuchet MS"/>
            </a:rPr>
            <a:t>1</a:t>
          </a:r>
          <a:endParaRPr lang="en-US" sz="1400" b="0" i="0" u="none" strike="noStrike" baseline="0">
            <a:solidFill>
              <a:srgbClr val="FFFFFF"/>
            </a:solidFill>
            <a:latin typeface="Trebuchet MS"/>
          </a:endParaRPr>
        </a:p>
        <a:p>
          <a:pPr algn="l" rtl="0">
            <a:defRPr sz="1000"/>
          </a:pPr>
          <a:endParaRPr lang="en-US" sz="1400" b="0" i="0" u="none" strike="noStrike" baseline="0">
            <a:solidFill>
              <a:srgbClr val="FFFFFF"/>
            </a:solidFill>
            <a:latin typeface="Trebuchet MS"/>
          </a:endParaRPr>
        </a:p>
      </xdr:txBody>
    </xdr:sp>
    <xdr:clientData/>
  </xdr:twoCellAnchor>
  <xdr:twoCellAnchor>
    <xdr:from>
      <xdr:col>6</xdr:col>
      <xdr:colOff>487680</xdr:colOff>
      <xdr:row>7</xdr:row>
      <xdr:rowOff>0</xdr:rowOff>
    </xdr:from>
    <xdr:to>
      <xdr:col>9</xdr:col>
      <xdr:colOff>137160</xdr:colOff>
      <xdr:row>7</xdr:row>
      <xdr:rowOff>0</xdr:rowOff>
    </xdr:to>
    <xdr:sp macro="" textlink="">
      <xdr:nvSpPr>
        <xdr:cNvPr id="4217" name="Line 40"/>
        <xdr:cNvSpPr>
          <a:spLocks noChangeShapeType="1"/>
        </xdr:cNvSpPr>
      </xdr:nvSpPr>
      <xdr:spPr bwMode="auto">
        <a:xfrm flipH="1">
          <a:off x="10614660" y="1508760"/>
          <a:ext cx="15163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487680</xdr:colOff>
      <xdr:row>13</xdr:row>
      <xdr:rowOff>0</xdr:rowOff>
    </xdr:from>
    <xdr:to>
      <xdr:col>7</xdr:col>
      <xdr:colOff>464820</xdr:colOff>
      <xdr:row>13</xdr:row>
      <xdr:rowOff>0</xdr:rowOff>
    </xdr:to>
    <xdr:sp macro="" textlink="">
      <xdr:nvSpPr>
        <xdr:cNvPr id="4218" name="Line 41"/>
        <xdr:cNvSpPr>
          <a:spLocks noChangeShapeType="1"/>
        </xdr:cNvSpPr>
      </xdr:nvSpPr>
      <xdr:spPr bwMode="auto">
        <a:xfrm flipH="1">
          <a:off x="10614660" y="2781300"/>
          <a:ext cx="487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205740</xdr:colOff>
      <xdr:row>8</xdr:row>
      <xdr:rowOff>114300</xdr:rowOff>
    </xdr:from>
    <xdr:to>
      <xdr:col>7</xdr:col>
      <xdr:colOff>45720</xdr:colOff>
      <xdr:row>9</xdr:row>
      <xdr:rowOff>205740</xdr:rowOff>
    </xdr:to>
    <xdr:sp macro="" textlink="">
      <xdr:nvSpPr>
        <xdr:cNvPr id="4138" name="Text Box 42"/>
        <xdr:cNvSpPr txBox="1">
          <a:spLocks noChangeArrowheads="1"/>
        </xdr:cNvSpPr>
      </xdr:nvSpPr>
      <xdr:spPr bwMode="auto">
        <a:xfrm>
          <a:off x="9601200" y="1828800"/>
          <a:ext cx="108204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DD0806"/>
              </a:solidFill>
              <a:latin typeface="Trebuchet MS"/>
            </a:rPr>
            <a:t>Altura (m)</a:t>
          </a:r>
        </a:p>
      </xdr:txBody>
    </xdr:sp>
    <xdr:clientData/>
  </xdr:twoCellAnchor>
  <xdr:twoCellAnchor>
    <xdr:from>
      <xdr:col>7</xdr:col>
      <xdr:colOff>160020</xdr:colOff>
      <xdr:row>10</xdr:row>
      <xdr:rowOff>68580</xdr:rowOff>
    </xdr:from>
    <xdr:to>
      <xdr:col>7</xdr:col>
      <xdr:colOff>160020</xdr:colOff>
      <xdr:row>12</xdr:row>
      <xdr:rowOff>144780</xdr:rowOff>
    </xdr:to>
    <xdr:sp macro="" textlink="">
      <xdr:nvSpPr>
        <xdr:cNvPr id="4220" name="Line 43"/>
        <xdr:cNvSpPr>
          <a:spLocks noChangeShapeType="1"/>
        </xdr:cNvSpPr>
      </xdr:nvSpPr>
      <xdr:spPr bwMode="auto">
        <a:xfrm>
          <a:off x="10797540" y="2232660"/>
          <a:ext cx="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160020</xdr:colOff>
      <xdr:row>7</xdr:row>
      <xdr:rowOff>38100</xdr:rowOff>
    </xdr:from>
    <xdr:to>
      <xdr:col>7</xdr:col>
      <xdr:colOff>160020</xdr:colOff>
      <xdr:row>8</xdr:row>
      <xdr:rowOff>167640</xdr:rowOff>
    </xdr:to>
    <xdr:sp macro="" textlink="">
      <xdr:nvSpPr>
        <xdr:cNvPr id="4221" name="Line 44"/>
        <xdr:cNvSpPr>
          <a:spLocks noChangeShapeType="1"/>
        </xdr:cNvSpPr>
      </xdr:nvSpPr>
      <xdr:spPr bwMode="auto">
        <a:xfrm flipV="1">
          <a:off x="10797540" y="1546860"/>
          <a:ext cx="0" cy="3352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510540</xdr:colOff>
      <xdr:row>6</xdr:row>
      <xdr:rowOff>144780</xdr:rowOff>
    </xdr:from>
    <xdr:ext cx="1608004" cy="300788"/>
    <xdr:sp macro="" textlink="">
      <xdr:nvSpPr>
        <xdr:cNvPr id="4141" name="Text Box 45"/>
        <xdr:cNvSpPr txBox="1">
          <a:spLocks noChangeArrowheads="1"/>
        </xdr:cNvSpPr>
      </xdr:nvSpPr>
      <xdr:spPr bwMode="auto">
        <a:xfrm>
          <a:off x="15831820" y="1475740"/>
          <a:ext cx="1608004" cy="3007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DD0806"/>
              </a:solidFill>
              <a:latin typeface="Trebuchet MS"/>
            </a:rPr>
            <a:t>Pendiente</a:t>
          </a:r>
          <a:r>
            <a:rPr lang="en-US" sz="1400" b="1" i="0" u="none" strike="noStrike" baseline="0">
              <a:solidFill>
                <a:srgbClr val="000000"/>
              </a:solidFill>
              <a:latin typeface="Trebuchet MS"/>
            </a:rPr>
            <a:t> (&gt;3:1)</a:t>
          </a:r>
        </a:p>
      </xdr:txBody>
    </xdr:sp>
    <xdr:clientData/>
  </xdr:oneCellAnchor>
  <xdr:twoCellAnchor>
    <xdr:from>
      <xdr:col>16</xdr:col>
      <xdr:colOff>7620</xdr:colOff>
      <xdr:row>13</xdr:row>
      <xdr:rowOff>137160</xdr:rowOff>
    </xdr:from>
    <xdr:to>
      <xdr:col>16</xdr:col>
      <xdr:colOff>7620</xdr:colOff>
      <xdr:row>14</xdr:row>
      <xdr:rowOff>365760</xdr:rowOff>
    </xdr:to>
    <xdr:sp macro="" textlink="">
      <xdr:nvSpPr>
        <xdr:cNvPr id="4223" name="Line 46"/>
        <xdr:cNvSpPr>
          <a:spLocks noChangeShapeType="1"/>
        </xdr:cNvSpPr>
      </xdr:nvSpPr>
      <xdr:spPr bwMode="auto">
        <a:xfrm flipV="1">
          <a:off x="17175480" y="2918460"/>
          <a:ext cx="0" cy="4648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579120</xdr:colOff>
      <xdr:row>13</xdr:row>
      <xdr:rowOff>114300</xdr:rowOff>
    </xdr:from>
    <xdr:to>
      <xdr:col>7</xdr:col>
      <xdr:colOff>579120</xdr:colOff>
      <xdr:row>15</xdr:row>
      <xdr:rowOff>7620</xdr:rowOff>
    </xdr:to>
    <xdr:sp macro="" textlink="">
      <xdr:nvSpPr>
        <xdr:cNvPr id="4224" name="Line 47"/>
        <xdr:cNvSpPr>
          <a:spLocks noChangeShapeType="1"/>
        </xdr:cNvSpPr>
      </xdr:nvSpPr>
      <xdr:spPr bwMode="auto">
        <a:xfrm flipV="1">
          <a:off x="11216640" y="2895600"/>
          <a:ext cx="0" cy="5029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10</xdr:col>
      <xdr:colOff>690709</xdr:colOff>
      <xdr:row>2</xdr:row>
      <xdr:rowOff>68580</xdr:rowOff>
    </xdr:from>
    <xdr:ext cx="1729961" cy="464230"/>
    <xdr:sp macro="" textlink="">
      <xdr:nvSpPr>
        <xdr:cNvPr id="4179" name="Text Box 83"/>
        <xdr:cNvSpPr txBox="1">
          <a:spLocks noChangeArrowheads="1"/>
        </xdr:cNvSpPr>
      </xdr:nvSpPr>
      <xdr:spPr bwMode="auto">
        <a:xfrm>
          <a:off x="13329749" y="535940"/>
          <a:ext cx="1729961" cy="4642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ctr" rtl="0">
            <a:lnSpc>
              <a:spcPts val="1400"/>
            </a:lnSpc>
            <a:defRPr sz="1000"/>
          </a:pPr>
          <a:r>
            <a:rPr lang="en-US" sz="1400" b="1" i="0" u="none" strike="noStrike" baseline="0">
              <a:solidFill>
                <a:srgbClr val="DD0806"/>
              </a:solidFill>
              <a:latin typeface="Trebuchet MS"/>
            </a:rPr>
            <a:t>Ancho de la </a:t>
          </a:r>
        </a:p>
        <a:p>
          <a:pPr algn="ctr" rtl="0">
            <a:lnSpc>
              <a:spcPts val="1200"/>
            </a:lnSpc>
            <a:defRPr sz="1000"/>
          </a:pPr>
          <a:r>
            <a:rPr lang="en-US" sz="1400" b="1" i="0" u="none" strike="noStrike" baseline="0">
              <a:solidFill>
                <a:srgbClr val="DD0806"/>
              </a:solidFill>
              <a:latin typeface="Trebuchet MS"/>
            </a:rPr>
            <a:t>parte superior (m)</a:t>
          </a:r>
        </a:p>
      </xdr:txBody>
    </xdr:sp>
    <xdr:clientData/>
  </xdr:oneCellAnchor>
  <xdr:twoCellAnchor>
    <xdr:from>
      <xdr:col>10</xdr:col>
      <xdr:colOff>746760</xdr:colOff>
      <xdr:row>8</xdr:row>
      <xdr:rowOff>160020</xdr:rowOff>
    </xdr:from>
    <xdr:to>
      <xdr:col>12</xdr:col>
      <xdr:colOff>76200</xdr:colOff>
      <xdr:row>11</xdr:row>
      <xdr:rowOff>60960</xdr:rowOff>
    </xdr:to>
    <xdr:sp macro="" textlink="">
      <xdr:nvSpPr>
        <xdr:cNvPr id="4186" name="Text Box 90"/>
        <xdr:cNvSpPr txBox="1">
          <a:spLocks noChangeArrowheads="1"/>
        </xdr:cNvSpPr>
      </xdr:nvSpPr>
      <xdr:spPr bwMode="auto">
        <a:xfrm>
          <a:off x="13365480" y="1874520"/>
          <a:ext cx="1379220" cy="556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41148" rIns="0" bIns="0" anchor="t" upright="1"/>
        <a:lstStyle/>
        <a:p>
          <a:pPr algn="l" rtl="0">
            <a:defRPr sz="1000"/>
          </a:pPr>
          <a:r>
            <a:rPr lang="en-US" sz="1800" b="1" i="0" u="none" strike="noStrike" baseline="0">
              <a:solidFill>
                <a:srgbClr val="FCF305"/>
              </a:solidFill>
              <a:latin typeface="Arial"/>
              <a:cs typeface="Arial"/>
            </a:rPr>
            <a:t>Silo de Monticulo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zoomScale="75" workbookViewId="0">
      <selection activeCell="A4" sqref="A4"/>
    </sheetView>
  </sheetViews>
  <sheetFormatPr defaultColWidth="9.109375" defaultRowHeight="13.2" x14ac:dyDescent="0.25"/>
  <cols>
    <col min="1" max="3" width="9.109375" style="1"/>
    <col min="4" max="4" width="10.6640625" style="1" customWidth="1"/>
    <col min="5" max="5" width="38.88671875" style="1" customWidth="1"/>
    <col min="6" max="6" width="11" style="1" bestFit="1" customWidth="1"/>
    <col min="7" max="7" width="4.6640625" style="1" customWidth="1"/>
    <col min="8" max="8" width="43.6640625" style="1" customWidth="1"/>
    <col min="9" max="9" width="14.5546875" style="1" customWidth="1"/>
    <col min="10" max="10" width="9.33203125" style="1" bestFit="1" customWidth="1"/>
    <col min="11" max="11" width="12.44140625" style="1" customWidth="1"/>
    <col min="12" max="12" width="12" style="1" customWidth="1"/>
    <col min="13" max="14" width="9.88671875" style="1" bestFit="1" customWidth="1"/>
    <col min="15" max="16384" width="9.109375" style="1"/>
  </cols>
  <sheetData>
    <row r="1" spans="1:16" ht="15.6" x14ac:dyDescent="0.3">
      <c r="A1" s="5" t="s">
        <v>55</v>
      </c>
      <c r="F1" s="75" t="s">
        <v>56</v>
      </c>
      <c r="H1" s="4" t="s">
        <v>40</v>
      </c>
    </row>
    <row r="2" spans="1:16" ht="15.6" x14ac:dyDescent="0.3">
      <c r="A2" s="37"/>
      <c r="F2" s="38"/>
      <c r="H2" s="4" t="s">
        <v>19</v>
      </c>
    </row>
    <row r="3" spans="1:16" ht="15.6" x14ac:dyDescent="0.3">
      <c r="A3" s="37" t="str">
        <f>+IF(F1="NO","Bottom Width (ft)=",(IF(F1="N","Bottom Width (ft)="," ")))</f>
        <v>Bottom Width (ft)=</v>
      </c>
      <c r="F3" s="132">
        <v>160</v>
      </c>
      <c r="H3" s="2" t="s">
        <v>32</v>
      </c>
    </row>
    <row r="4" spans="1:16" ht="17.399999999999999" x14ac:dyDescent="0.3">
      <c r="A4" s="37" t="str">
        <f>+IF(F1="yes","Horizontal Portion of Side Slope (ie 3 for 3:1)  =",(IF(F1="y","Horizontal Portion of Side Slope (ie 3 for 3:1)  ="," ")))</f>
        <v xml:space="preserve"> </v>
      </c>
      <c r="F4" s="132">
        <v>3.8</v>
      </c>
      <c r="H4" s="2" t="s">
        <v>46</v>
      </c>
      <c r="L4" s="60">
        <f>+F9</f>
        <v>100</v>
      </c>
    </row>
    <row r="5" spans="1:16" x14ac:dyDescent="0.25">
      <c r="H5" s="2" t="s">
        <v>45</v>
      </c>
    </row>
    <row r="6" spans="1:16" x14ac:dyDescent="0.25">
      <c r="H6" s="2" t="s">
        <v>20</v>
      </c>
    </row>
    <row r="7" spans="1:16" ht="21" x14ac:dyDescent="0.4">
      <c r="A7" s="5" t="s">
        <v>60</v>
      </c>
      <c r="B7" s="5"/>
      <c r="C7" s="5"/>
      <c r="D7" s="5"/>
      <c r="E7" s="5"/>
      <c r="F7" s="126">
        <v>10</v>
      </c>
      <c r="G7" s="58"/>
      <c r="H7" s="49">
        <v>39317</v>
      </c>
      <c r="O7" s="63">
        <f>+F8</f>
        <v>3</v>
      </c>
    </row>
    <row r="8" spans="1:16" ht="15.6" x14ac:dyDescent="0.3">
      <c r="A8" s="7" t="s">
        <v>59</v>
      </c>
      <c r="B8" s="7"/>
      <c r="C8" s="7"/>
      <c r="D8" s="7"/>
      <c r="E8" s="43"/>
      <c r="F8" s="127">
        <f>+IF(F1="No",K20,F4)</f>
        <v>3</v>
      </c>
      <c r="G8" s="58"/>
    </row>
    <row r="9" spans="1:16" ht="15.6" x14ac:dyDescent="0.3">
      <c r="A9" s="5" t="s">
        <v>16</v>
      </c>
      <c r="B9" s="5"/>
      <c r="C9" s="5"/>
      <c r="D9" s="5"/>
      <c r="E9" s="5"/>
      <c r="F9" s="126">
        <v>100</v>
      </c>
      <c r="G9" s="58"/>
      <c r="H9" s="1" t="s">
        <v>28</v>
      </c>
      <c r="P9" s="9"/>
    </row>
    <row r="10" spans="1:16" ht="15.6" x14ac:dyDescent="0.3">
      <c r="A10" s="5"/>
      <c r="B10" s="5"/>
      <c r="C10" s="5"/>
      <c r="D10" s="5"/>
      <c r="E10" s="5"/>
      <c r="F10" s="5"/>
    </row>
    <row r="11" spans="1:16" ht="17.399999999999999" x14ac:dyDescent="0.3">
      <c r="A11" s="5" t="s">
        <v>103</v>
      </c>
      <c r="B11" s="5"/>
      <c r="C11" s="5"/>
      <c r="D11" s="5"/>
      <c r="E11" s="5"/>
      <c r="F11" s="126">
        <v>120</v>
      </c>
      <c r="H11" s="1" t="s">
        <v>43</v>
      </c>
      <c r="I11" s="61">
        <f>+F7</f>
        <v>10</v>
      </c>
    </row>
    <row r="12" spans="1:16" ht="15.6" x14ac:dyDescent="0.3">
      <c r="A12" s="5"/>
      <c r="B12" s="5"/>
      <c r="C12" s="5"/>
      <c r="D12" s="5"/>
      <c r="E12" s="5"/>
      <c r="F12" s="5"/>
    </row>
    <row r="13" spans="1:16" ht="15.6" x14ac:dyDescent="0.3">
      <c r="A13" s="5" t="s">
        <v>41</v>
      </c>
      <c r="B13" s="5"/>
      <c r="C13" s="5"/>
      <c r="D13" s="5"/>
      <c r="E13" s="5"/>
      <c r="F13" s="126">
        <v>0.34</v>
      </c>
      <c r="H13" s="10" t="s">
        <v>42</v>
      </c>
    </row>
    <row r="14" spans="1:16" ht="15.6" x14ac:dyDescent="0.3">
      <c r="B14" s="5"/>
      <c r="C14" s="5"/>
      <c r="D14" s="5"/>
      <c r="E14" s="5"/>
      <c r="F14" s="11" t="str">
        <f>+IF(F13&gt;1,"F13 must be less than 1"," ")</f>
        <v xml:space="preserve"> </v>
      </c>
    </row>
    <row r="15" spans="1:16" ht="15.6" x14ac:dyDescent="0.3">
      <c r="A15" s="5" t="s">
        <v>21</v>
      </c>
      <c r="B15" s="5"/>
      <c r="C15" s="5"/>
      <c r="D15" s="5"/>
      <c r="E15" s="5"/>
      <c r="F15" s="126">
        <v>6</v>
      </c>
      <c r="H15" s="1" t="s">
        <v>53</v>
      </c>
    </row>
    <row r="16" spans="1:16" ht="15.6" x14ac:dyDescent="0.3">
      <c r="A16" s="5"/>
      <c r="B16" s="5"/>
      <c r="C16" s="5"/>
      <c r="D16" s="5"/>
      <c r="E16" s="5"/>
      <c r="F16" s="11" t="str">
        <f>+IF(F15&gt;24,"Consider a thinner layer in cell F15", " ")</f>
        <v xml:space="preserve"> </v>
      </c>
    </row>
    <row r="17" spans="1:18" ht="15.6" x14ac:dyDescent="0.3">
      <c r="A17" s="5" t="s">
        <v>31</v>
      </c>
      <c r="B17" s="5"/>
      <c r="C17" s="5"/>
      <c r="D17" s="5"/>
      <c r="E17" s="5" t="s">
        <v>30</v>
      </c>
      <c r="F17" s="5"/>
      <c r="H17" s="5" t="s">
        <v>33</v>
      </c>
    </row>
    <row r="18" spans="1:18" ht="15.6" x14ac:dyDescent="0.3">
      <c r="A18" s="6" t="s">
        <v>105</v>
      </c>
      <c r="B18" s="5"/>
      <c r="C18" s="5"/>
      <c r="D18" s="5"/>
      <c r="E18" s="5"/>
      <c r="F18" s="5"/>
      <c r="H18" s="5"/>
    </row>
    <row r="19" spans="1:18" ht="17.399999999999999" x14ac:dyDescent="0.3">
      <c r="A19" s="5" t="s">
        <v>22</v>
      </c>
      <c r="B19" s="5"/>
      <c r="C19" s="12" t="s">
        <v>51</v>
      </c>
      <c r="D19" s="5"/>
      <c r="E19" s="5"/>
      <c r="F19" s="128">
        <v>40000</v>
      </c>
      <c r="G19" s="16">
        <f>IF(F19&gt;0,H19,0)</f>
        <v>100</v>
      </c>
      <c r="H19" s="131">
        <v>100</v>
      </c>
      <c r="I19" s="50" t="str">
        <f>IF(AND(F19&gt;0,H19&lt;1), "Error in Cell F19 or H19", IF(AND(F19&lt;1,H19&gt;0),"Error in Cell F19 or H19"," "))</f>
        <v xml:space="preserve"> </v>
      </c>
      <c r="L19" s="62">
        <f>+IF(F1="No", F3,(F9+2*F7*F8))</f>
        <v>160</v>
      </c>
    </row>
    <row r="20" spans="1:18" ht="15.6" x14ac:dyDescent="0.3">
      <c r="A20" s="5" t="s">
        <v>23</v>
      </c>
      <c r="B20" s="5"/>
      <c r="C20" s="12" t="s">
        <v>51</v>
      </c>
      <c r="D20" s="5"/>
      <c r="E20" s="5"/>
      <c r="F20" s="128">
        <v>40000</v>
      </c>
      <c r="G20" s="16">
        <f>IF(F20&gt;0,H20,0)</f>
        <v>100</v>
      </c>
      <c r="H20" s="131">
        <v>100</v>
      </c>
      <c r="I20" s="50" t="str">
        <f>IF(AND(F20&gt;0,H20&lt;1), "Error in Cell F20 or H20", IF(AND(F20&lt;1,H20&gt;0),"Error in Cell F20 or H20"," "))</f>
        <v xml:space="preserve"> </v>
      </c>
      <c r="K20" s="41">
        <f>+(F3-F9)/2/F7</f>
        <v>3</v>
      </c>
    </row>
    <row r="21" spans="1:18" ht="15.6" x14ac:dyDescent="0.3">
      <c r="A21" s="5" t="s">
        <v>24</v>
      </c>
      <c r="B21" s="5"/>
      <c r="C21" s="12" t="s">
        <v>51</v>
      </c>
      <c r="D21" s="5"/>
      <c r="E21" s="5"/>
      <c r="F21" s="128">
        <v>0</v>
      </c>
      <c r="G21" s="16">
        <f>IF(F21&gt;0,H21,0)</f>
        <v>0</v>
      </c>
      <c r="H21" s="131">
        <v>0</v>
      </c>
      <c r="I21" s="50" t="str">
        <f>IF(AND(F21&gt;0,H21&lt;1), "Error in Cell F21 or H21", IF(AND(F21&lt;1,H21&gt;0),"Error in Cell F21 or H21"," "))</f>
        <v xml:space="preserve"> </v>
      </c>
      <c r="K21" s="37"/>
    </row>
    <row r="22" spans="1:18" ht="15.6" x14ac:dyDescent="0.3">
      <c r="A22" s="5" t="s">
        <v>25</v>
      </c>
      <c r="B22" s="5"/>
      <c r="C22" s="12" t="s">
        <v>51</v>
      </c>
      <c r="D22" s="5"/>
      <c r="E22" s="5"/>
      <c r="F22" s="128">
        <v>0</v>
      </c>
      <c r="G22" s="16">
        <f>IF(F22&gt;0,H22,0)</f>
        <v>0</v>
      </c>
      <c r="H22" s="131">
        <v>0</v>
      </c>
      <c r="I22" s="50" t="str">
        <f>IF(AND(F22&gt;0,H22&lt;1), "Error in Cell F22 or H22", IF(AND(F22&lt;1,H22&gt;0),"Error in Cell F22 or H22"," "))</f>
        <v xml:space="preserve"> </v>
      </c>
    </row>
    <row r="23" spans="1:18" ht="15.6" x14ac:dyDescent="0.3">
      <c r="A23" s="5" t="s">
        <v>48</v>
      </c>
      <c r="C23" s="5"/>
      <c r="D23" s="5"/>
      <c r="E23" s="5"/>
      <c r="F23" s="129">
        <f>+F19*H19/100 +F20*H20/100+F21*H21/100+F22*H22/100</f>
        <v>80000</v>
      </c>
      <c r="I23" s="14"/>
      <c r="M23" s="13"/>
      <c r="N23" s="13"/>
    </row>
    <row r="24" spans="1:18" ht="15.6" x14ac:dyDescent="0.3">
      <c r="A24" s="5" t="s">
        <v>27</v>
      </c>
      <c r="B24" s="5"/>
      <c r="C24" s="5"/>
      <c r="D24" s="5"/>
      <c r="E24" s="5"/>
      <c r="F24" s="130">
        <f>+F7*(F9+F7*F8)/(F9+2*F7*F8)</f>
        <v>8.125</v>
      </c>
      <c r="H24" s="78" t="s">
        <v>34</v>
      </c>
      <c r="M24" s="14"/>
      <c r="N24" s="13"/>
    </row>
    <row r="25" spans="1:18" ht="15.6" x14ac:dyDescent="0.3">
      <c r="A25" s="5"/>
      <c r="B25" s="5"/>
      <c r="C25" s="5"/>
      <c r="D25" s="5"/>
      <c r="E25" s="5"/>
      <c r="F25" s="77"/>
      <c r="I25" s="13"/>
      <c r="M25" s="14"/>
      <c r="N25" s="13"/>
    </row>
    <row r="26" spans="1:18" x14ac:dyDescent="0.25">
      <c r="G26" s="36"/>
      <c r="I26" s="17"/>
    </row>
    <row r="27" spans="1:18" ht="15.6" x14ac:dyDescent="0.3">
      <c r="A27" s="6" t="s">
        <v>76</v>
      </c>
      <c r="B27" s="5"/>
      <c r="C27" s="5"/>
      <c r="D27" s="5"/>
      <c r="E27" s="5"/>
      <c r="F27" s="5"/>
    </row>
    <row r="28" spans="1:18" ht="15.6" x14ac:dyDescent="0.3">
      <c r="A28" s="5"/>
      <c r="B28" s="5"/>
      <c r="C28" s="5"/>
      <c r="E28" s="7" t="s">
        <v>85</v>
      </c>
      <c r="F28" s="79">
        <f>+MAX(K32:N35)</f>
        <v>501.84843513938733</v>
      </c>
      <c r="H28" s="9" t="s">
        <v>29</v>
      </c>
    </row>
    <row r="29" spans="1:18" ht="15.6" x14ac:dyDescent="0.3">
      <c r="A29" s="7" t="s">
        <v>77</v>
      </c>
      <c r="B29" s="9"/>
      <c r="C29" s="9"/>
      <c r="D29" s="9"/>
      <c r="E29" s="9"/>
      <c r="F29" s="79">
        <f>F35/F13</f>
        <v>44.455080048286099</v>
      </c>
      <c r="H29" s="3" t="s">
        <v>78</v>
      </c>
    </row>
    <row r="30" spans="1:18" ht="15.6" x14ac:dyDescent="0.3">
      <c r="A30" s="7" t="s">
        <v>79</v>
      </c>
      <c r="B30" s="9"/>
      <c r="C30" s="9"/>
      <c r="D30" s="9"/>
      <c r="E30" s="9"/>
      <c r="F30" s="79">
        <f>F13*93.6 +(1-F13)*62.4</f>
        <v>73.007999999999996</v>
      </c>
      <c r="H30" s="3" t="s">
        <v>80</v>
      </c>
      <c r="I30" s="2"/>
      <c r="J30" s="64"/>
      <c r="K30" s="64" t="s">
        <v>71</v>
      </c>
      <c r="L30" s="64" t="s">
        <v>72</v>
      </c>
      <c r="M30" s="64" t="s">
        <v>73</v>
      </c>
      <c r="N30" s="64" t="s">
        <v>74</v>
      </c>
    </row>
    <row r="31" spans="1:18" x14ac:dyDescent="0.25">
      <c r="J31" s="64" t="s">
        <v>70</v>
      </c>
      <c r="K31" s="64">
        <v>19</v>
      </c>
      <c r="L31" s="64">
        <v>20</v>
      </c>
      <c r="M31" s="64">
        <v>21</v>
      </c>
      <c r="N31" s="64">
        <v>22</v>
      </c>
      <c r="O31" s="59"/>
      <c r="P31" s="18"/>
      <c r="Q31" s="18"/>
      <c r="R31" s="18"/>
    </row>
    <row r="32" spans="1:18" ht="15.6" x14ac:dyDescent="0.3">
      <c r="B32" s="14"/>
      <c r="C32" s="14"/>
      <c r="D32" s="14"/>
      <c r="E32" s="7" t="s">
        <v>81</v>
      </c>
      <c r="F32" s="80">
        <f>1-(F29/F30)</f>
        <v>0.39109303023934228</v>
      </c>
      <c r="H32" s="3" t="s">
        <v>82</v>
      </c>
      <c r="J32" s="64">
        <v>19</v>
      </c>
      <c r="K32" s="120">
        <f>+($F$19/$F$15)*($F$13*$G$19/$F$11/100)^0.5</f>
        <v>354.86043161491801</v>
      </c>
      <c r="L32" s="120">
        <f>+(($F$19*$G$19+$F$20*$G$20)/IF($G$19+$G$20,$G$19+$G$20,1)/$F$15)*($F$13*SUM($G$19:$G$20)/$F$11/100)^0.5</f>
        <v>501.84843513938733</v>
      </c>
      <c r="M32" s="120">
        <f>+(($F$19*$G$19+$F$20*$G$20+$F$21*$G$21)/IF($G$19+$G$20+$G$21,$G$19+$G$20+$G$21,1)/$F$15)*($F$13*SUM($G$19:$G$21)/$F$11/100)^0.5</f>
        <v>501.84843513938733</v>
      </c>
      <c r="N32" s="120">
        <f>+(($F$19*$G$19+$F$20*$G$20+$F$21*$G$21+$F$22*$G$22)/IF(SUM($G$19:$G$22),SUM($G$19:$G$22),1)/$F$15)*($F$13*SUM($G$19:$G$22)/$F$11/100)^0.5</f>
        <v>501.84843513938733</v>
      </c>
      <c r="O32" s="59"/>
      <c r="P32" s="18"/>
      <c r="Q32" s="18"/>
      <c r="R32" s="18"/>
    </row>
    <row r="33" spans="1:18" ht="15.6" x14ac:dyDescent="0.3">
      <c r="J33" s="64">
        <v>20</v>
      </c>
      <c r="K33" s="120"/>
      <c r="L33" s="120">
        <f>+($F$20/$F$15)*($F$13*$G$20/$F$11/100)^0.5</f>
        <v>354.86043161491801</v>
      </c>
      <c r="M33" s="120">
        <f>+(($F$20*$G$20+$F$21*$G$21)/IF($G$20+$G$21,$G$20+$G$21,1)/$F$15)*($F$13*SUM($G$20:$G$21)/$F$11/100)^0.5</f>
        <v>354.86043161491801</v>
      </c>
      <c r="N33" s="120">
        <f>+(($F$20*$G$20+$F$21*$G$21+$F$22*$G$22)/IF(SUM($G$20:$G$22),SUM($G$20:$G$22),1)/$F$15)*($F$13*SUM($G$20:$G$22)/$F$11/100)^0.5</f>
        <v>354.86043161491801</v>
      </c>
      <c r="O33" s="59"/>
      <c r="P33" s="18"/>
      <c r="Q33" s="18"/>
      <c r="R33" s="18"/>
    </row>
    <row r="34" spans="1:18" ht="15.6" x14ac:dyDescent="0.3">
      <c r="J34" s="64">
        <v>21</v>
      </c>
      <c r="K34" s="120">
        <f>+(($F$19*$G$19+$F$21*$G21)/IF($G$19+$G21,$G$19+$G21,1)/$F$15)*($F$13*SUM($G$19,$G21)/$F$11/100)^0.5</f>
        <v>354.86043161491801</v>
      </c>
      <c r="L34" s="120"/>
      <c r="M34" s="120">
        <f>+($F$21/$F$15)*(($F$13*$G$21)/$F$11/100)^0.5</f>
        <v>0</v>
      </c>
      <c r="N34" s="120">
        <f>+(($F$21*$G$21+$F$22*$G$22)/IF($G$21+$G$22,$G$21+$G$22,1)/$F$15)*($F$13*SUM($G$21:$G$22)/$F$11/100)^0.5</f>
        <v>0</v>
      </c>
      <c r="O34" s="59"/>
      <c r="P34" s="18"/>
      <c r="Q34" s="18"/>
      <c r="R34" s="18"/>
    </row>
    <row r="35" spans="1:18" ht="15.6" x14ac:dyDescent="0.3">
      <c r="A35" s="7" t="s">
        <v>35</v>
      </c>
      <c r="B35" s="7"/>
      <c r="C35" s="7"/>
      <c r="D35" s="7"/>
      <c r="E35" s="7"/>
      <c r="F35" s="79">
        <f>+IF(F36&lt;J37,F36,J37)</f>
        <v>15.114727216417275</v>
      </c>
      <c r="H35" s="3" t="s">
        <v>84</v>
      </c>
      <c r="J35" s="64">
        <v>22</v>
      </c>
      <c r="K35" s="120">
        <f>+(($F$19*$G$19+$F$22*$G$22)/IF($G$19+$G$22,$G$19+$G$22,1)/$F$15)*($F$13*SUM($G$19,$G$22)/$F$11/100)^0.5</f>
        <v>354.86043161491801</v>
      </c>
      <c r="L35" s="120">
        <f>+(($F$20*$G$20+$F$22*$G$22)/IF($G$20+$G$22,$G$20+$G$22,1)/$F$15)*($F$13*SUM($G$20,$G$22)/$F$11/100)^0.5</f>
        <v>354.86043161491801</v>
      </c>
      <c r="M35" s="120">
        <f>+(($F$19*$G$19+$F$21*$G$21+$F$22*$G$22)/IF($G$19+$G$21+$G$22,$G$19+$G$21+$G$22,1)/$F$15)*($F$13*SUM($G$19,$G$21:$G$22)/$F$11/100)^0.5</f>
        <v>354.86043161491801</v>
      </c>
      <c r="N35" s="120">
        <f>+($F$22/$F$15)*($F$13*$G$22/$F$11/100)^0.5</f>
        <v>0</v>
      </c>
      <c r="O35" s="59"/>
      <c r="P35" s="18"/>
      <c r="Q35" s="18"/>
      <c r="R35" s="18"/>
    </row>
    <row r="36" spans="1:18" ht="15.6" x14ac:dyDescent="0.3">
      <c r="A36" s="7" t="s">
        <v>49</v>
      </c>
      <c r="B36" s="9"/>
      <c r="C36" s="9"/>
      <c r="D36" s="9"/>
      <c r="E36" s="9"/>
      <c r="F36" s="79">
        <f>+F13*(F13*93.6+(1-F13)*62.4)</f>
        <v>24.82272</v>
      </c>
      <c r="H36" s="3" t="s">
        <v>83</v>
      </c>
      <c r="J36" s="124"/>
      <c r="K36" s="124"/>
      <c r="L36" s="124"/>
      <c r="M36" s="124"/>
      <c r="N36" s="124"/>
      <c r="O36" s="59"/>
      <c r="P36" s="18"/>
      <c r="Q36" s="18"/>
      <c r="R36" s="18"/>
    </row>
    <row r="37" spans="1:18" x14ac:dyDescent="0.25">
      <c r="A37" s="8" t="str">
        <f>+IF(F35=F36,"Estimated DM Density controlled by Maximum Achievable Density","")</f>
        <v/>
      </c>
      <c r="J37" s="125">
        <f>(+F28*0.0155 + 8.5)*(0.818+0.0136*F24)</f>
        <v>15.114727216417275</v>
      </c>
      <c r="K37" s="124"/>
      <c r="L37" s="124"/>
      <c r="M37" s="124"/>
      <c r="N37" s="124"/>
      <c r="O37" s="59"/>
      <c r="P37" s="18"/>
      <c r="Q37" s="18"/>
      <c r="R37" s="18"/>
    </row>
    <row r="38" spans="1:18" x14ac:dyDescent="0.25">
      <c r="J38" s="59"/>
      <c r="K38" s="59"/>
      <c r="L38" s="59"/>
      <c r="M38" s="59"/>
      <c r="N38" s="59"/>
      <c r="O38" s="59"/>
    </row>
    <row r="39" spans="1:18" x14ac:dyDescent="0.25">
      <c r="H39" s="42"/>
      <c r="J39" s="59"/>
      <c r="K39" s="59"/>
      <c r="L39" s="59"/>
      <c r="M39" s="59"/>
      <c r="N39" s="59"/>
      <c r="O39" s="59"/>
    </row>
  </sheetData>
  <sheetProtection sheet="1" objects="1" scenarios="1"/>
  <phoneticPr fontId="0" type="noConversion"/>
  <conditionalFormatting sqref="F4">
    <cfRule type="expression" dxfId="7" priority="1" stopIfTrue="1">
      <formula>OR(F1="n", F1="no")</formula>
    </cfRule>
  </conditionalFormatting>
  <conditionalFormatting sqref="F3">
    <cfRule type="expression" dxfId="6" priority="2" stopIfTrue="1">
      <formula>F1="Yes"</formula>
    </cfRule>
  </conditionalFormatting>
  <dataValidations disablePrompts="1" count="1">
    <dataValidation type="list" allowBlank="1" showInputMessage="1" showErrorMessage="1" error="Click the Arrow to get a choice of Yes or No" prompt="Click on Arrow for choices" sqref="F1">
      <formula1>"No, Yes"</formula1>
    </dataValidation>
  </dataValidation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zoomScale="78" zoomScaleNormal="78" workbookViewId="0"/>
  </sheetViews>
  <sheetFormatPr defaultColWidth="9.109375" defaultRowHeight="13.2" x14ac:dyDescent="0.25"/>
  <cols>
    <col min="1" max="3" width="9.109375" style="1"/>
    <col min="4" max="4" width="10.6640625" style="1" customWidth="1"/>
    <col min="5" max="5" width="38.77734375" style="1" customWidth="1"/>
    <col min="6" max="6" width="11" style="1" bestFit="1" customWidth="1"/>
    <col min="7" max="7" width="4.6640625" style="1" customWidth="1"/>
    <col min="8" max="8" width="43.6640625" style="1" customWidth="1"/>
    <col min="9" max="9" width="14.44140625" style="1" customWidth="1"/>
    <col min="10" max="10" width="9.33203125" style="1" bestFit="1" customWidth="1"/>
    <col min="11" max="11" width="12.44140625" style="1" customWidth="1"/>
    <col min="12" max="12" width="12" style="1" customWidth="1"/>
    <col min="13" max="14" width="9.77734375" style="1" bestFit="1" customWidth="1"/>
    <col min="15" max="16384" width="9.109375" style="1"/>
  </cols>
  <sheetData>
    <row r="1" spans="1:16" ht="15.6" x14ac:dyDescent="0.3">
      <c r="A1" s="5" t="s">
        <v>106</v>
      </c>
      <c r="F1" s="75" t="s">
        <v>56</v>
      </c>
      <c r="H1" s="4" t="s">
        <v>107</v>
      </c>
    </row>
    <row r="2" spans="1:16" ht="15.6" x14ac:dyDescent="0.3">
      <c r="A2" s="5"/>
      <c r="F2" s="135"/>
      <c r="H2" s="4" t="s">
        <v>108</v>
      </c>
    </row>
    <row r="3" spans="1:16" ht="15.6" x14ac:dyDescent="0.3">
      <c r="A3" s="5"/>
      <c r="C3" s="5" t="s">
        <v>109</v>
      </c>
      <c r="F3" s="136">
        <v>160</v>
      </c>
      <c r="H3" s="2" t="s">
        <v>32</v>
      </c>
    </row>
    <row r="4" spans="1:16" ht="17.399999999999999" x14ac:dyDescent="0.3">
      <c r="A4" s="5" t="str">
        <f>+IF(F1="yes","Horizontal Portion of Side Slope (ie 3 for 3:1)  =",(IF(F1="y","Horizontal Portion of Side Slope (ie 3 for 3:1)  ="," ")))</f>
        <v xml:space="preserve"> </v>
      </c>
      <c r="F4" s="136">
        <v>3.8</v>
      </c>
      <c r="H4" s="2" t="s">
        <v>46</v>
      </c>
      <c r="L4" s="60">
        <f>+F9</f>
        <v>100</v>
      </c>
    </row>
    <row r="5" spans="1:16" x14ac:dyDescent="0.25">
      <c r="H5" s="2" t="s">
        <v>45</v>
      </c>
    </row>
    <row r="6" spans="1:16" x14ac:dyDescent="0.25">
      <c r="H6" s="2" t="s">
        <v>20</v>
      </c>
    </row>
    <row r="7" spans="1:16" ht="21" x14ac:dyDescent="0.4">
      <c r="A7" s="5" t="s">
        <v>110</v>
      </c>
      <c r="B7" s="5"/>
      <c r="C7" s="5"/>
      <c r="D7" s="5"/>
      <c r="E7" s="5"/>
      <c r="F7" s="126">
        <v>10</v>
      </c>
      <c r="G7" s="58"/>
      <c r="H7" s="49">
        <v>39317</v>
      </c>
      <c r="O7" s="63">
        <f>+F8</f>
        <v>3</v>
      </c>
    </row>
    <row r="8" spans="1:16" ht="15.6" x14ac:dyDescent="0.3">
      <c r="A8" s="7" t="s">
        <v>111</v>
      </c>
      <c r="B8" s="7"/>
      <c r="C8" s="7"/>
      <c r="D8" s="7"/>
      <c r="E8" s="43"/>
      <c r="F8" s="79">
        <f>+IF(F1="No",K20,F4)</f>
        <v>3</v>
      </c>
      <c r="G8" s="58"/>
    </row>
    <row r="9" spans="1:16" ht="15.6" x14ac:dyDescent="0.3">
      <c r="A9" s="5" t="s">
        <v>112</v>
      </c>
      <c r="B9" s="5"/>
      <c r="C9" s="5"/>
      <c r="D9" s="5"/>
      <c r="E9" s="5"/>
      <c r="F9" s="126">
        <v>100</v>
      </c>
      <c r="G9" s="58"/>
      <c r="H9" s="1" t="s">
        <v>113</v>
      </c>
      <c r="P9" s="9"/>
    </row>
    <row r="10" spans="1:16" ht="15.6" x14ac:dyDescent="0.3">
      <c r="A10" s="5"/>
      <c r="B10" s="5"/>
      <c r="C10" s="5"/>
      <c r="D10" s="5"/>
      <c r="E10" s="5"/>
      <c r="F10" s="5"/>
    </row>
    <row r="11" spans="1:16" ht="17.399999999999999" x14ac:dyDescent="0.3">
      <c r="A11" s="5" t="s">
        <v>114</v>
      </c>
      <c r="B11" s="5"/>
      <c r="C11" s="5"/>
      <c r="D11" s="5"/>
      <c r="E11" s="5"/>
      <c r="F11" s="126">
        <v>120</v>
      </c>
      <c r="H11" s="1" t="s">
        <v>115</v>
      </c>
      <c r="I11" s="61">
        <f>+F7</f>
        <v>10</v>
      </c>
    </row>
    <row r="12" spans="1:16" ht="15.6" x14ac:dyDescent="0.3">
      <c r="A12" s="5"/>
      <c r="B12" s="5"/>
      <c r="C12" s="5"/>
      <c r="D12" s="5"/>
      <c r="E12" s="5"/>
      <c r="F12" s="5"/>
    </row>
    <row r="13" spans="1:16" ht="15.6" x14ac:dyDescent="0.3">
      <c r="A13" s="5" t="s">
        <v>116</v>
      </c>
      <c r="B13" s="5"/>
      <c r="C13" s="5"/>
      <c r="D13" s="5"/>
      <c r="E13" s="5"/>
      <c r="F13" s="126">
        <v>0.34</v>
      </c>
      <c r="H13" s="137" t="s">
        <v>117</v>
      </c>
    </row>
    <row r="14" spans="1:16" ht="15.6" x14ac:dyDescent="0.3">
      <c r="B14" s="5"/>
      <c r="C14" s="5"/>
      <c r="D14" s="5"/>
      <c r="E14" s="5"/>
      <c r="F14" s="11" t="str">
        <f>+IF(F13&gt;1,"F13 must be less than 1"," ")</f>
        <v xml:space="preserve"> </v>
      </c>
    </row>
    <row r="15" spans="1:16" ht="15.6" x14ac:dyDescent="0.3">
      <c r="A15" s="5" t="s">
        <v>118</v>
      </c>
      <c r="B15" s="5"/>
      <c r="C15" s="5"/>
      <c r="D15" s="5"/>
      <c r="E15" s="5"/>
      <c r="F15" s="126">
        <v>6</v>
      </c>
      <c r="H15" s="1" t="s">
        <v>119</v>
      </c>
    </row>
    <row r="16" spans="1:16" ht="15.6" x14ac:dyDescent="0.3">
      <c r="A16" s="5"/>
      <c r="B16" s="5"/>
      <c r="C16" s="5"/>
      <c r="D16" s="5"/>
      <c r="E16" s="5"/>
      <c r="F16" s="11" t="str">
        <f>+IF(F15&gt;24,"Consider a thinner layer in cell F15", " ")</f>
        <v xml:space="preserve"> </v>
      </c>
    </row>
    <row r="17" spans="1:18" ht="15.6" x14ac:dyDescent="0.3">
      <c r="A17" s="5" t="s">
        <v>120</v>
      </c>
      <c r="B17" s="5"/>
      <c r="C17" s="5"/>
      <c r="D17" s="5"/>
      <c r="E17" s="5" t="s">
        <v>121</v>
      </c>
      <c r="F17" s="5"/>
      <c r="H17" s="5" t="s">
        <v>122</v>
      </c>
    </row>
    <row r="18" spans="1:18" ht="15.6" x14ac:dyDescent="0.3">
      <c r="A18" s="6" t="s">
        <v>105</v>
      </c>
      <c r="B18" s="5"/>
      <c r="C18" s="5"/>
      <c r="D18" s="5"/>
      <c r="E18" s="5"/>
      <c r="F18" s="5"/>
      <c r="H18" s="5"/>
    </row>
    <row r="19" spans="1:18" ht="17.399999999999999" x14ac:dyDescent="0.3">
      <c r="A19" s="5" t="s">
        <v>22</v>
      </c>
      <c r="B19" s="5"/>
      <c r="C19" s="12" t="s">
        <v>123</v>
      </c>
      <c r="D19" s="5"/>
      <c r="E19" s="5"/>
      <c r="F19" s="128">
        <v>40000</v>
      </c>
      <c r="G19" s="16">
        <f>IF(F19&gt;0,H19,0)</f>
        <v>100</v>
      </c>
      <c r="H19" s="131">
        <v>100</v>
      </c>
      <c r="I19" s="50" t="str">
        <f>IF(AND(F19&gt;0,H19&lt;1), "Error in Cell F19 or H19", IF(AND(F19&lt;1,H19&gt;0),"Error in Cell F19 or H19"," "))</f>
        <v xml:space="preserve"> </v>
      </c>
      <c r="L19" s="62">
        <f>+IF(F1="No", F3,(F9+2*F7*F8))</f>
        <v>160</v>
      </c>
    </row>
    <row r="20" spans="1:18" ht="15.6" x14ac:dyDescent="0.3">
      <c r="A20" s="5" t="s">
        <v>23</v>
      </c>
      <c r="B20" s="5"/>
      <c r="C20" s="12" t="s">
        <v>123</v>
      </c>
      <c r="D20" s="5"/>
      <c r="E20" s="5"/>
      <c r="F20" s="128">
        <v>40000</v>
      </c>
      <c r="G20" s="16">
        <f>IF(F20&gt;0,H20,0)</f>
        <v>100</v>
      </c>
      <c r="H20" s="131">
        <v>100</v>
      </c>
      <c r="I20" s="50" t="str">
        <f>IF(AND(F20&gt;0,H20&lt;1), "Error in Cell F20 or H20", IF(AND(F20&lt;1,H20&gt;0),"Error in Cell F20 or H20"," "))</f>
        <v xml:space="preserve"> </v>
      </c>
      <c r="K20" s="16">
        <f>+(F3-F9)/2/F7</f>
        <v>3</v>
      </c>
    </row>
    <row r="21" spans="1:18" ht="15.6" x14ac:dyDescent="0.3">
      <c r="A21" s="5" t="s">
        <v>24</v>
      </c>
      <c r="B21" s="5"/>
      <c r="C21" s="12" t="s">
        <v>123</v>
      </c>
      <c r="D21" s="5"/>
      <c r="E21" s="5"/>
      <c r="F21" s="128">
        <v>0</v>
      </c>
      <c r="G21" s="16">
        <f>IF(F21&gt;0,H21,0)</f>
        <v>0</v>
      </c>
      <c r="H21" s="131">
        <v>0</v>
      </c>
      <c r="I21" s="50" t="str">
        <f>IF(AND(F21&gt;0,H21&lt;1), "Error in Cell F21 or H21", IF(AND(F21&lt;1,H21&gt;0),"Error in Cell F21 or H21"," "))</f>
        <v xml:space="preserve"> </v>
      </c>
      <c r="K21" s="5"/>
    </row>
    <row r="22" spans="1:18" ht="15.6" x14ac:dyDescent="0.3">
      <c r="A22" s="5" t="s">
        <v>25</v>
      </c>
      <c r="B22" s="5"/>
      <c r="C22" s="12" t="s">
        <v>123</v>
      </c>
      <c r="D22" s="5"/>
      <c r="E22" s="5"/>
      <c r="F22" s="128">
        <v>0</v>
      </c>
      <c r="G22" s="16">
        <f>IF(F22&gt;0,H22,0)</f>
        <v>0</v>
      </c>
      <c r="H22" s="131">
        <v>0</v>
      </c>
      <c r="I22" s="50" t="str">
        <f>IF(AND(F22&gt;0,H22&lt;1), "Error in Cell F22 or H22", IF(AND(F22&lt;1,H22&gt;0),"Error in Cell F22 or H22"," "))</f>
        <v xml:space="preserve"> </v>
      </c>
    </row>
    <row r="23" spans="1:18" ht="15.6" x14ac:dyDescent="0.3">
      <c r="A23" s="5" t="s">
        <v>124</v>
      </c>
      <c r="C23" s="5"/>
      <c r="D23" s="5"/>
      <c r="E23" s="5"/>
      <c r="F23" s="129">
        <f>+F19*H19/100 +F20*H20/100+F21*H21/100+F22*H22/100</f>
        <v>80000</v>
      </c>
      <c r="I23" s="14"/>
      <c r="M23" s="13"/>
      <c r="N23" s="13"/>
    </row>
    <row r="24" spans="1:18" ht="15.6" x14ac:dyDescent="0.3">
      <c r="A24" s="5" t="s">
        <v>125</v>
      </c>
      <c r="B24" s="5"/>
      <c r="C24" s="5"/>
      <c r="D24" s="5"/>
      <c r="E24" s="5"/>
      <c r="F24" s="130">
        <f>+F7*(F9+F7*F8)/(F9+2*F7*F8)</f>
        <v>8.125</v>
      </c>
      <c r="H24" s="78" t="s">
        <v>126</v>
      </c>
      <c r="M24" s="14"/>
      <c r="N24" s="13"/>
    </row>
    <row r="25" spans="1:18" ht="15.6" x14ac:dyDescent="0.3">
      <c r="A25" s="5"/>
      <c r="B25" s="5"/>
      <c r="C25" s="5"/>
      <c r="D25" s="5"/>
      <c r="E25" s="5"/>
      <c r="F25" s="77"/>
      <c r="I25" s="13"/>
      <c r="M25" s="14"/>
      <c r="N25" s="13"/>
    </row>
    <row r="26" spans="1:18" x14ac:dyDescent="0.25">
      <c r="G26" s="36"/>
      <c r="I26" s="17"/>
    </row>
    <row r="27" spans="1:18" ht="15.6" x14ac:dyDescent="0.3">
      <c r="A27" s="6" t="s">
        <v>76</v>
      </c>
      <c r="B27" s="5"/>
      <c r="C27" s="5"/>
      <c r="D27" s="5"/>
      <c r="E27" s="5"/>
      <c r="F27" s="5"/>
    </row>
    <row r="28" spans="1:18" ht="15.6" x14ac:dyDescent="0.3">
      <c r="A28" s="5"/>
      <c r="B28" s="5"/>
      <c r="C28" s="5"/>
      <c r="E28" s="7" t="s">
        <v>127</v>
      </c>
      <c r="F28" s="79">
        <f>+MAX(K32:N35)</f>
        <v>501.84843513938733</v>
      </c>
      <c r="H28" s="9" t="s">
        <v>128</v>
      </c>
    </row>
    <row r="29" spans="1:18" ht="15.6" x14ac:dyDescent="0.3">
      <c r="A29" s="7" t="s">
        <v>129</v>
      </c>
      <c r="B29" s="9"/>
      <c r="C29" s="9"/>
      <c r="D29" s="9"/>
      <c r="E29" s="9"/>
      <c r="F29" s="79">
        <f>F35/F13</f>
        <v>44.455080048286099</v>
      </c>
      <c r="H29" s="3" t="s">
        <v>130</v>
      </c>
    </row>
    <row r="30" spans="1:18" ht="15.6" x14ac:dyDescent="0.3">
      <c r="A30" s="7" t="s">
        <v>131</v>
      </c>
      <c r="B30" s="9"/>
      <c r="C30" s="9"/>
      <c r="D30" s="9"/>
      <c r="E30" s="9"/>
      <c r="F30" s="79">
        <f>F13*93.6 +(1-F13)*62.4</f>
        <v>73.007999999999996</v>
      </c>
      <c r="H30" s="3" t="s">
        <v>132</v>
      </c>
      <c r="I30" s="2"/>
      <c r="J30" s="72"/>
      <c r="K30" s="72" t="s">
        <v>71</v>
      </c>
      <c r="L30" s="72" t="s">
        <v>72</v>
      </c>
      <c r="M30" s="72" t="s">
        <v>73</v>
      </c>
      <c r="N30" s="72" t="s">
        <v>74</v>
      </c>
    </row>
    <row r="31" spans="1:18" x14ac:dyDescent="0.25">
      <c r="J31" s="72" t="s">
        <v>70</v>
      </c>
      <c r="K31" s="72">
        <v>19</v>
      </c>
      <c r="L31" s="72">
        <v>20</v>
      </c>
      <c r="M31" s="72">
        <v>21</v>
      </c>
      <c r="N31" s="72">
        <v>22</v>
      </c>
      <c r="O31" s="42"/>
      <c r="P31" s="18"/>
      <c r="Q31" s="18"/>
      <c r="R31" s="18"/>
    </row>
    <row r="32" spans="1:18" ht="15.6" x14ac:dyDescent="0.3">
      <c r="B32" s="14"/>
      <c r="C32" s="14"/>
      <c r="D32" s="14"/>
      <c r="E32" s="7" t="s">
        <v>133</v>
      </c>
      <c r="F32" s="80">
        <f>1-(F29/F30)</f>
        <v>0.39109303023934228</v>
      </c>
      <c r="H32" s="3" t="s">
        <v>134</v>
      </c>
      <c r="J32" s="72">
        <v>19</v>
      </c>
      <c r="K32" s="121">
        <f>+($F$19/$F$15)*($F$13*$G$19/$F$11/100)^0.5</f>
        <v>354.86043161491801</v>
      </c>
      <c r="L32" s="121">
        <f>+(($F$19*$G$19+$F$20*$G$20)/IF($G$19+$G$20,$G$19+$G$20,1)/$F$15)*($F$13*SUM($G$19:$G$20)/$F$11/100)^0.5</f>
        <v>501.84843513938733</v>
      </c>
      <c r="M32" s="121">
        <f>+(($F$19*$G$19+$F$20*$G$20+$F$21*$G$21)/IF($G$19+$G$20+$G$21,$G$19+$G$20+$G$21,1)/$F$15)*($F$13*SUM($G$19:$G$21)/$F$11/100)^0.5</f>
        <v>501.84843513938733</v>
      </c>
      <c r="N32" s="121">
        <f>+(($F$19*$G$19+$F$20*$G$20+$F$21*$G$21+$F$22*$G$22)/IF(SUM($G$19:$G$22),SUM($G$19:$G$22),1)/$F$15)*($F$13*SUM($G$19:$G$22)/$F$11/100)^0.5</f>
        <v>501.84843513938733</v>
      </c>
      <c r="O32" s="42"/>
      <c r="P32" s="18"/>
      <c r="Q32" s="18"/>
      <c r="R32" s="18"/>
    </row>
    <row r="33" spans="1:18" ht="15.6" x14ac:dyDescent="0.3">
      <c r="J33" s="72">
        <v>20</v>
      </c>
      <c r="K33" s="121"/>
      <c r="L33" s="121">
        <f>+($F$20/$F$15)*($F$13*$G$20/$F$11/100)^0.5</f>
        <v>354.86043161491801</v>
      </c>
      <c r="M33" s="121">
        <f>+(($F$20*$G$20+$F$21*$G$21)/IF($G$20+$G$21,$G$20+$G$21,1)/$F$15)*($F$13*SUM($G$20:$G$21)/$F$11/100)^0.5</f>
        <v>354.86043161491801</v>
      </c>
      <c r="N33" s="121">
        <f>+(($F$20*$G$20+$F$21*$G$21+$F$22*$G$22)/IF(SUM($G$20:$G$22),SUM($G$20:$G$22),1)/$F$15)*($F$13*SUM($G$20:$G$22)/$F$11/100)^0.5</f>
        <v>354.86043161491801</v>
      </c>
      <c r="O33" s="42"/>
      <c r="P33" s="18"/>
      <c r="Q33" s="18"/>
      <c r="R33" s="18"/>
    </row>
    <row r="34" spans="1:18" ht="15.6" x14ac:dyDescent="0.3">
      <c r="J34" s="72">
        <v>21</v>
      </c>
      <c r="K34" s="121">
        <f>+(($F$19*$G$19+$F$21*$G21)/IF($G$19+$G21,$G$19+$G21,1)/$F$15)*($F$13*SUM($G$19,$G21)/$F$11/100)^0.5</f>
        <v>354.86043161491801</v>
      </c>
      <c r="L34" s="121"/>
      <c r="M34" s="121">
        <f>+($F$21/$F$15)*(($F$13*$G$21)/$F$11/100)^0.5</f>
        <v>0</v>
      </c>
      <c r="N34" s="121">
        <f>+(($F$21*$G$21+$F$22*$G$22)/IF($G$21+$G$22,$G$21+$G$22,1)/$F$15)*($F$13*SUM($G$21:$G$22)/$F$11/100)^0.5</f>
        <v>0</v>
      </c>
      <c r="O34" s="42"/>
      <c r="P34" s="18"/>
      <c r="Q34" s="18"/>
      <c r="R34" s="18"/>
    </row>
    <row r="35" spans="1:18" ht="15.6" x14ac:dyDescent="0.3">
      <c r="A35" s="7" t="s">
        <v>135</v>
      </c>
      <c r="B35" s="7"/>
      <c r="C35" s="7"/>
      <c r="D35" s="7"/>
      <c r="E35" s="7"/>
      <c r="F35" s="79">
        <f>+IF(F36&lt;J37,F36,J37)</f>
        <v>15.114727216417275</v>
      </c>
      <c r="H35" s="3" t="s">
        <v>136</v>
      </c>
      <c r="J35" s="72">
        <v>22</v>
      </c>
      <c r="K35" s="121">
        <f>+(($F$19*$G$19+$F$22*$G$22)/IF($G$19+$G$22,$G$19+$G$22,1)/$F$15)*($F$13*SUM($G$19,$G$22)/$F$11/100)^0.5</f>
        <v>354.86043161491801</v>
      </c>
      <c r="L35" s="121">
        <f>+(($F$20*$G$20+$F$22*$G$22)/IF($G$20+$G$22,$G$20+$G$22,1)/$F$15)*($F$13*SUM($G$20,$G$22)/$F$11/100)^0.5</f>
        <v>354.86043161491801</v>
      </c>
      <c r="M35" s="121">
        <f>+(($F$19*$G$19+$F$21*$G$21+$F$22*$G$22)/IF($G$19+$G$21+$G$22,$G$19+$G$21+$G$22,1)/$F$15)*($F$13*SUM($G$19,$G$21:$G$22)/$F$11/100)^0.5</f>
        <v>354.86043161491801</v>
      </c>
      <c r="N35" s="121">
        <f>+($F$22/$F$15)*($F$13*$G$22/$F$11/100)^0.5</f>
        <v>0</v>
      </c>
      <c r="O35" s="42"/>
      <c r="P35" s="18"/>
      <c r="Q35" s="18"/>
      <c r="R35" s="18"/>
    </row>
    <row r="36" spans="1:18" ht="15.6" x14ac:dyDescent="0.3">
      <c r="A36" s="7" t="s">
        <v>137</v>
      </c>
      <c r="B36" s="9"/>
      <c r="C36" s="9"/>
      <c r="D36" s="9"/>
      <c r="E36" s="9"/>
      <c r="F36" s="79">
        <f>+F13*(F13*93.6+(1-F13)*62.4)</f>
        <v>24.82272</v>
      </c>
      <c r="H36" s="3" t="s">
        <v>138</v>
      </c>
      <c r="J36" s="138"/>
      <c r="K36" s="138"/>
      <c r="L36" s="138"/>
      <c r="M36" s="138"/>
      <c r="N36" s="138"/>
      <c r="O36" s="42"/>
      <c r="P36" s="18"/>
      <c r="Q36" s="18"/>
      <c r="R36" s="18"/>
    </row>
    <row r="37" spans="1:18" x14ac:dyDescent="0.25">
      <c r="A37" s="8" t="str">
        <f>+IF(F35=F36,"Estimated DM Density controlled by Maximum Achievable Density","")</f>
        <v/>
      </c>
      <c r="J37" s="125">
        <f>(+F28*0.0155 + 8.5)*(0.818+0.0136*F24)</f>
        <v>15.114727216417275</v>
      </c>
      <c r="K37" s="138"/>
      <c r="L37" s="138"/>
      <c r="M37" s="138"/>
      <c r="N37" s="138"/>
      <c r="O37" s="42"/>
      <c r="P37" s="18"/>
      <c r="Q37" s="18"/>
      <c r="R37" s="18"/>
    </row>
    <row r="38" spans="1:18" x14ac:dyDescent="0.25">
      <c r="J38" s="42"/>
      <c r="K38" s="42"/>
      <c r="L38" s="42"/>
      <c r="M38" s="42"/>
      <c r="N38" s="42"/>
      <c r="O38" s="42"/>
    </row>
    <row r="39" spans="1:18" x14ac:dyDescent="0.25">
      <c r="H39" s="42"/>
      <c r="J39" s="42"/>
      <c r="K39" s="42"/>
      <c r="L39" s="42"/>
      <c r="M39" s="42"/>
      <c r="N39" s="42"/>
      <c r="O39" s="42"/>
    </row>
  </sheetData>
  <conditionalFormatting sqref="F4">
    <cfRule type="expression" dxfId="5" priority="1" stopIfTrue="1">
      <formula>OR(#REF!="n", #REF!="no")</formula>
    </cfRule>
  </conditionalFormatting>
  <conditionalFormatting sqref="F3">
    <cfRule type="expression" dxfId="4" priority="2" stopIfTrue="1">
      <formula>#REF!="Yes"</formula>
    </cfRule>
  </conditionalFormatting>
  <dataValidations count="1">
    <dataValidation type="list" allowBlank="1" showInputMessage="1" showErrorMessage="1" error="Click the Arrow to get a choice of Yes or No" prompt="Click on Arrow for choices" sqref="F1">
      <formula1>"No, Yes"</formula1>
    </dataValidation>
  </dataValidations>
  <pageMargins left="0.75" right="0.75" top="1" bottom="1" header="0.5" footer="0.5"/>
  <pageSetup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75" workbookViewId="0">
      <selection activeCell="K25" sqref="K25"/>
    </sheetView>
  </sheetViews>
  <sheetFormatPr defaultRowHeight="13.2" x14ac:dyDescent="0.25"/>
  <cols>
    <col min="1" max="4" width="8.88671875" customWidth="1"/>
    <col min="5" max="5" width="42.6640625" customWidth="1"/>
    <col min="6" max="6" width="11.44140625" bestFit="1" customWidth="1"/>
    <col min="7" max="7" width="3.6640625" customWidth="1"/>
    <col min="8" max="8" width="43.6640625" customWidth="1"/>
    <col min="9" max="9" width="24.6640625" customWidth="1"/>
    <col min="10" max="10" width="9.33203125" bestFit="1" customWidth="1"/>
    <col min="11" max="11" width="11" bestFit="1" customWidth="1"/>
    <col min="12" max="12" width="23.5546875" customWidth="1"/>
    <col min="13" max="13" width="2.44140625" customWidth="1"/>
    <col min="14" max="14" width="6.88671875" customWidth="1"/>
    <col min="15" max="15" width="11.109375" customWidth="1"/>
  </cols>
  <sheetData>
    <row r="1" spans="1:16" ht="15.6" x14ac:dyDescent="0.3">
      <c r="A1" s="51" t="s">
        <v>55</v>
      </c>
      <c r="B1" s="1"/>
      <c r="C1" s="1"/>
      <c r="D1" s="1"/>
      <c r="E1" s="1"/>
      <c r="F1" s="75" t="s">
        <v>56</v>
      </c>
      <c r="G1" s="1"/>
      <c r="H1" s="4" t="s">
        <v>40</v>
      </c>
      <c r="I1" s="1"/>
    </row>
    <row r="2" spans="1:16" ht="15.6" x14ac:dyDescent="0.3">
      <c r="A2" s="37"/>
      <c r="B2" s="1"/>
      <c r="C2" s="1"/>
      <c r="D2" s="1"/>
      <c r="E2" s="1"/>
      <c r="F2" s="38"/>
      <c r="G2" s="1"/>
      <c r="H2" s="4" t="s">
        <v>18</v>
      </c>
      <c r="I2" s="1"/>
    </row>
    <row r="3" spans="1:16" ht="17.399999999999999" x14ac:dyDescent="0.3">
      <c r="A3" s="37" t="str">
        <f>+IF(F1="No","Bottom Width (meters) ="," ")</f>
        <v>Bottom Width (meters) =</v>
      </c>
      <c r="B3" s="1"/>
      <c r="C3" s="1"/>
      <c r="D3" s="1"/>
      <c r="E3" s="1"/>
      <c r="F3" s="76">
        <v>53</v>
      </c>
      <c r="G3" s="1"/>
      <c r="H3" s="2" t="s">
        <v>32</v>
      </c>
      <c r="I3" s="1"/>
      <c r="L3" s="67">
        <f>+F9</f>
        <v>33</v>
      </c>
    </row>
    <row r="4" spans="1:16" ht="15.6" x14ac:dyDescent="0.3">
      <c r="A4" s="37" t="str">
        <f>+IF(F1="Yes","Horizontal Portion of Side Slope (ie 3 for 3:1)  =","  ")</f>
        <v xml:space="preserve">  </v>
      </c>
      <c r="B4" s="1"/>
      <c r="C4" s="1"/>
      <c r="D4" s="1"/>
      <c r="E4" s="1"/>
      <c r="F4" s="76">
        <v>7.4</v>
      </c>
      <c r="G4" s="1"/>
      <c r="H4" s="2" t="s">
        <v>46</v>
      </c>
      <c r="I4" s="1"/>
    </row>
    <row r="5" spans="1:16" x14ac:dyDescent="0.25">
      <c r="A5" s="1"/>
      <c r="B5" s="1"/>
      <c r="C5" s="1"/>
      <c r="D5" s="39"/>
      <c r="E5" s="1"/>
      <c r="F5" s="1"/>
      <c r="G5" s="1"/>
      <c r="H5" s="2" t="s">
        <v>45</v>
      </c>
      <c r="I5" s="1"/>
    </row>
    <row r="6" spans="1:16" ht="21" x14ac:dyDescent="0.4">
      <c r="A6" s="1"/>
      <c r="B6" s="1"/>
      <c r="C6" s="1"/>
      <c r="D6" s="1"/>
      <c r="E6" s="1"/>
      <c r="F6" s="1"/>
      <c r="G6" s="1"/>
      <c r="H6" s="2" t="s">
        <v>20</v>
      </c>
      <c r="I6" s="1"/>
      <c r="O6" s="65">
        <f>+F8</f>
        <v>3.0303030303030303</v>
      </c>
    </row>
    <row r="7" spans="1:16" ht="15.6" x14ac:dyDescent="0.3">
      <c r="A7" s="5" t="s">
        <v>57</v>
      </c>
      <c r="B7" s="5"/>
      <c r="C7" s="5"/>
      <c r="D7" s="5"/>
      <c r="E7" s="5"/>
      <c r="F7" s="133">
        <v>3.3</v>
      </c>
      <c r="G7" s="1"/>
      <c r="H7" s="49">
        <v>39317</v>
      </c>
      <c r="I7" s="1"/>
    </row>
    <row r="8" spans="1:16" ht="15.6" x14ac:dyDescent="0.3">
      <c r="A8" s="52" t="s">
        <v>58</v>
      </c>
      <c r="B8" s="7"/>
      <c r="C8" s="7"/>
      <c r="D8" s="7"/>
      <c r="E8" s="7"/>
      <c r="F8" s="40">
        <f>+IF(F1="No",K20,F4)</f>
        <v>3.0303030303030303</v>
      </c>
      <c r="G8" s="1"/>
      <c r="H8" s="1"/>
      <c r="I8" s="1"/>
    </row>
    <row r="9" spans="1:16" ht="15.6" x14ac:dyDescent="0.3">
      <c r="A9" s="5" t="s">
        <v>17</v>
      </c>
      <c r="B9" s="5"/>
      <c r="C9" s="5"/>
      <c r="D9" s="5"/>
      <c r="E9" s="5"/>
      <c r="F9" s="133">
        <v>33</v>
      </c>
      <c r="G9" s="1"/>
      <c r="H9" s="1" t="s">
        <v>28</v>
      </c>
      <c r="I9" s="1"/>
      <c r="P9" s="66"/>
    </row>
    <row r="10" spans="1:16" ht="17.399999999999999" x14ac:dyDescent="0.3">
      <c r="A10" s="5"/>
      <c r="B10" s="5"/>
      <c r="C10" s="5"/>
      <c r="D10" s="5"/>
      <c r="E10" s="5"/>
      <c r="F10" s="5"/>
      <c r="G10" s="1"/>
      <c r="H10" s="1"/>
      <c r="I10" s="61">
        <f>+F7</f>
        <v>3.3</v>
      </c>
    </row>
    <row r="11" spans="1:16" ht="15.6" x14ac:dyDescent="0.3">
      <c r="A11" s="5" t="s">
        <v>104</v>
      </c>
      <c r="B11" s="5"/>
      <c r="C11" s="5"/>
      <c r="D11" s="5"/>
      <c r="E11" s="5"/>
      <c r="F11" s="126">
        <v>120</v>
      </c>
      <c r="G11" s="1"/>
      <c r="H11" s="1" t="s">
        <v>44</v>
      </c>
      <c r="I11" s="1"/>
    </row>
    <row r="12" spans="1:16" ht="15.6" x14ac:dyDescent="0.3">
      <c r="A12" s="5"/>
      <c r="B12" s="5"/>
      <c r="C12" s="5"/>
      <c r="D12" s="5"/>
      <c r="E12" s="5"/>
      <c r="F12" s="5"/>
      <c r="G12" s="1"/>
      <c r="H12" s="1"/>
      <c r="I12" s="1"/>
    </row>
    <row r="13" spans="1:16" ht="15.6" x14ac:dyDescent="0.3">
      <c r="A13" s="5" t="s">
        <v>41</v>
      </c>
      <c r="B13" s="5"/>
      <c r="C13" s="5"/>
      <c r="D13" s="5"/>
      <c r="E13" s="5"/>
      <c r="F13" s="126">
        <v>0.34</v>
      </c>
      <c r="G13" s="1"/>
      <c r="H13" s="10" t="s">
        <v>42</v>
      </c>
      <c r="I13" s="1"/>
    </row>
    <row r="14" spans="1:16" ht="15.6" x14ac:dyDescent="0.3">
      <c r="B14" s="5"/>
      <c r="C14" s="5"/>
      <c r="D14" s="5"/>
      <c r="E14" s="5"/>
      <c r="F14" s="11" t="str">
        <f>+IF(F13&gt;1,"F13 must be less than 1"," ")</f>
        <v xml:space="preserve"> </v>
      </c>
      <c r="G14" s="1"/>
      <c r="H14" s="1"/>
      <c r="I14" s="1"/>
    </row>
    <row r="15" spans="1:16" ht="15.6" x14ac:dyDescent="0.3">
      <c r="A15" s="5" t="s">
        <v>39</v>
      </c>
      <c r="B15" s="5"/>
      <c r="C15" s="5"/>
      <c r="D15" s="5"/>
      <c r="E15" s="5"/>
      <c r="F15" s="126">
        <v>15</v>
      </c>
      <c r="G15" s="1"/>
      <c r="H15" s="1" t="s">
        <v>52</v>
      </c>
      <c r="I15" s="1"/>
    </row>
    <row r="16" spans="1:16" ht="15.6" x14ac:dyDescent="0.3">
      <c r="A16" s="5"/>
      <c r="B16" s="5"/>
      <c r="C16" s="5"/>
      <c r="D16" s="5"/>
      <c r="E16" s="5"/>
      <c r="F16" s="11" t="str">
        <f>+IF(F15&gt;60,"Consider a thinner layer in cell F15", " ")</f>
        <v xml:space="preserve"> </v>
      </c>
      <c r="G16" s="1"/>
      <c r="H16" s="1"/>
      <c r="I16" s="1"/>
    </row>
    <row r="17" spans="1:16" ht="15.6" x14ac:dyDescent="0.3">
      <c r="A17" s="5" t="s">
        <v>31</v>
      </c>
      <c r="B17" s="5"/>
      <c r="C17" s="5"/>
      <c r="D17" s="5"/>
      <c r="E17" s="5" t="s">
        <v>36</v>
      </c>
      <c r="F17" s="5"/>
      <c r="G17" s="1"/>
      <c r="H17" s="5" t="s">
        <v>33</v>
      </c>
      <c r="I17" s="1"/>
    </row>
    <row r="18" spans="1:16" ht="17.399999999999999" x14ac:dyDescent="0.3">
      <c r="A18" s="6" t="s">
        <v>54</v>
      </c>
      <c r="B18" s="5"/>
      <c r="C18" s="5"/>
      <c r="D18" s="5"/>
      <c r="E18" s="5"/>
      <c r="F18" s="5"/>
      <c r="G18" s="1"/>
      <c r="H18" s="5"/>
      <c r="I18" s="1"/>
      <c r="K18" s="15"/>
      <c r="L18" s="61">
        <f>+IF(F1="No", F3,(F9+2*F7*F8))</f>
        <v>53</v>
      </c>
    </row>
    <row r="19" spans="1:16" ht="15.6" x14ac:dyDescent="0.3">
      <c r="A19" s="5" t="s">
        <v>22</v>
      </c>
      <c r="B19" s="5"/>
      <c r="C19" s="12" t="s">
        <v>0</v>
      </c>
      <c r="D19" s="5"/>
      <c r="E19" s="5"/>
      <c r="F19" s="126">
        <v>18144</v>
      </c>
      <c r="G19" s="16">
        <f>IF(F19&gt;0,H19,0)</f>
        <v>100</v>
      </c>
      <c r="H19" s="131">
        <v>100</v>
      </c>
      <c r="I19" s="50" t="str">
        <f>IF(AND(F19&gt;0,H19&lt;1), "Error in Cell F19 or H19", IF(AND(F19&lt;1,H19&gt;0),"Error in Cell F19 or H19"," "))</f>
        <v xml:space="preserve"> </v>
      </c>
      <c r="J19" s="13"/>
      <c r="K19" s="13"/>
      <c r="L19" s="13"/>
      <c r="M19" s="19"/>
      <c r="N19" s="19"/>
      <c r="O19" s="19"/>
      <c r="P19" s="19"/>
    </row>
    <row r="20" spans="1:16" ht="15.6" x14ac:dyDescent="0.3">
      <c r="A20" s="5" t="s">
        <v>23</v>
      </c>
      <c r="B20" s="5"/>
      <c r="C20" s="12" t="s">
        <v>0</v>
      </c>
      <c r="D20" s="5"/>
      <c r="E20" s="5"/>
      <c r="F20" s="126">
        <v>18144</v>
      </c>
      <c r="G20" s="16">
        <f>IF(F20&gt;0,H20,0)</f>
        <v>100</v>
      </c>
      <c r="H20" s="131">
        <v>100</v>
      </c>
      <c r="I20" s="50" t="str">
        <f>IF(AND(F20&gt;0,H20&lt;1), "Error in Cell F20 or H20", IF(AND(F20&lt;1,H20&gt;0),"Error in Cell F20 or H20"," "))</f>
        <v xml:space="preserve"> </v>
      </c>
      <c r="J20" s="13"/>
      <c r="K20" s="64">
        <f>+(F3-F9)/2/F7</f>
        <v>3.0303030303030303</v>
      </c>
      <c r="L20" s="13"/>
      <c r="M20" s="116"/>
      <c r="N20" s="19"/>
      <c r="O20" s="19"/>
      <c r="P20" s="19"/>
    </row>
    <row r="21" spans="1:16" ht="15.6" x14ac:dyDescent="0.3">
      <c r="A21" s="5" t="s">
        <v>24</v>
      </c>
      <c r="B21" s="5"/>
      <c r="C21" s="12" t="s">
        <v>0</v>
      </c>
      <c r="D21" s="5"/>
      <c r="E21" s="5"/>
      <c r="F21" s="126">
        <v>0</v>
      </c>
      <c r="G21" s="16">
        <f>IF(F21&gt;0,H21,0)</f>
        <v>0</v>
      </c>
      <c r="H21" s="131">
        <v>0</v>
      </c>
      <c r="I21" s="50" t="str">
        <f>IF(AND(F21&gt;0,H21&lt;1), "Error in Cell F21 or H21", IF(AND(F21&lt;1,H21&gt;0),"Error in Cell F21 or H21"," "))</f>
        <v xml:space="preserve"> </v>
      </c>
      <c r="J21" s="13"/>
      <c r="K21" s="13"/>
      <c r="L21" s="13"/>
      <c r="M21" s="116"/>
      <c r="N21" s="19"/>
      <c r="O21" s="19"/>
      <c r="P21" s="19"/>
    </row>
    <row r="22" spans="1:16" ht="15.6" x14ac:dyDescent="0.3">
      <c r="A22" s="5" t="s">
        <v>25</v>
      </c>
      <c r="B22" s="5"/>
      <c r="C22" s="12" t="s">
        <v>0</v>
      </c>
      <c r="D22" s="5"/>
      <c r="E22" s="5"/>
      <c r="F22" s="126">
        <v>0</v>
      </c>
      <c r="G22" s="16">
        <f>IF(F22&gt;0,H22,0)</f>
        <v>0</v>
      </c>
      <c r="H22" s="131">
        <v>0</v>
      </c>
      <c r="I22" s="50" t="str">
        <f>IF(AND(F22&gt;0,H22&lt;1), "Error in Cell F22 or H22", IF(AND(F22&lt;1,H22&gt;0),"Error in Cell F22 or H22"," "))</f>
        <v xml:space="preserve"> </v>
      </c>
      <c r="J22" s="13"/>
      <c r="K22" s="13"/>
      <c r="L22" s="19"/>
      <c r="M22" s="116"/>
      <c r="N22" s="19"/>
      <c r="O22" s="19"/>
      <c r="P22" s="19"/>
    </row>
    <row r="23" spans="1:16" ht="15.6" x14ac:dyDescent="0.3">
      <c r="A23" s="5" t="s">
        <v>47</v>
      </c>
      <c r="C23" s="5"/>
      <c r="D23" s="5"/>
      <c r="E23" s="5"/>
      <c r="F23" s="134">
        <f>+F19*H19/100 +F20*H20/100+F21*H21/100+F22*H22/100</f>
        <v>36288</v>
      </c>
      <c r="G23" s="1"/>
      <c r="H23" s="1"/>
      <c r="I23" s="14"/>
      <c r="J23" s="19"/>
      <c r="K23" s="13"/>
      <c r="L23" s="19"/>
      <c r="M23" s="116"/>
      <c r="N23" s="19"/>
      <c r="O23" s="19"/>
      <c r="P23" s="19"/>
    </row>
    <row r="24" spans="1:16" ht="15.6" x14ac:dyDescent="0.3">
      <c r="A24" s="5" t="s">
        <v>37</v>
      </c>
      <c r="B24" s="5"/>
      <c r="C24" s="5"/>
      <c r="D24" s="5"/>
      <c r="E24" s="5"/>
      <c r="F24" s="130">
        <f>+F7*(F9+F7*F8)/(F9+2*F7*F8)</f>
        <v>2.6773584905660379</v>
      </c>
      <c r="G24" s="1"/>
      <c r="H24" s="78" t="s">
        <v>34</v>
      </c>
      <c r="I24" s="14"/>
      <c r="J24" s="19"/>
      <c r="K24" s="13"/>
      <c r="L24" s="19"/>
      <c r="M24" s="116"/>
      <c r="N24" s="19"/>
      <c r="O24" s="19"/>
      <c r="P24" s="19"/>
    </row>
    <row r="25" spans="1:16" ht="15.6" x14ac:dyDescent="0.3">
      <c r="A25" s="5"/>
      <c r="B25" s="5"/>
      <c r="C25" s="5"/>
      <c r="D25" s="5"/>
      <c r="E25" s="5"/>
      <c r="F25" s="77"/>
      <c r="G25" s="1"/>
      <c r="I25" s="14"/>
      <c r="J25" s="19"/>
      <c r="K25" s="19"/>
      <c r="L25" s="19"/>
      <c r="M25" s="19"/>
      <c r="N25" s="19"/>
      <c r="O25" s="19"/>
      <c r="P25" s="19"/>
    </row>
    <row r="26" spans="1:16" x14ac:dyDescent="0.25">
      <c r="G26" s="1"/>
      <c r="H26" s="1"/>
      <c r="I26" s="14"/>
      <c r="J26" s="19"/>
      <c r="K26" s="19"/>
      <c r="L26" s="19"/>
      <c r="M26" s="19"/>
      <c r="N26" s="19"/>
      <c r="O26" s="19"/>
      <c r="P26" s="19"/>
    </row>
    <row r="27" spans="1:16" ht="15.6" x14ac:dyDescent="0.3">
      <c r="A27" s="6" t="s">
        <v>75</v>
      </c>
      <c r="B27" s="5"/>
      <c r="C27" s="5"/>
      <c r="D27" s="5"/>
      <c r="E27" s="5"/>
      <c r="F27" s="5"/>
      <c r="G27" s="1"/>
      <c r="H27" s="1"/>
      <c r="I27" s="14"/>
      <c r="J27" s="19"/>
      <c r="K27" s="19"/>
      <c r="L27" s="19"/>
      <c r="M27" s="19"/>
      <c r="N27" s="19"/>
      <c r="O27" s="19"/>
      <c r="P27" s="19"/>
    </row>
    <row r="28" spans="1:16" ht="15.6" x14ac:dyDescent="0.3">
      <c r="A28" s="5"/>
      <c r="B28" s="5"/>
      <c r="C28" s="5"/>
      <c r="D28" s="7" t="s">
        <v>26</v>
      </c>
      <c r="E28" s="7"/>
      <c r="F28" s="79">
        <f>+MAX(K32:N35)</f>
        <v>2879.4239423884774</v>
      </c>
      <c r="G28" s="1"/>
      <c r="H28" s="9" t="s">
        <v>29</v>
      </c>
      <c r="I28" s="14"/>
      <c r="J28" s="19"/>
      <c r="K28" s="117"/>
      <c r="L28" s="19"/>
      <c r="M28" s="19"/>
      <c r="N28" s="19"/>
      <c r="O28" s="19"/>
      <c r="P28" s="19"/>
    </row>
    <row r="29" spans="1:16" ht="15.6" x14ac:dyDescent="0.3">
      <c r="A29" s="7" t="s">
        <v>87</v>
      </c>
      <c r="B29" s="9"/>
      <c r="C29" s="9"/>
      <c r="D29" s="9"/>
      <c r="E29" s="9"/>
      <c r="F29" s="79">
        <f>F35/F13</f>
        <v>709.22195601206386</v>
      </c>
      <c r="G29" s="1"/>
      <c r="H29" s="3" t="s">
        <v>88</v>
      </c>
      <c r="I29" s="3"/>
      <c r="J29" s="19"/>
      <c r="K29" s="19"/>
      <c r="L29" s="19"/>
      <c r="M29" s="19"/>
      <c r="N29" s="19"/>
      <c r="O29" s="19"/>
      <c r="P29" s="19"/>
    </row>
    <row r="30" spans="1:16" ht="15.6" x14ac:dyDescent="0.3">
      <c r="A30" s="7" t="s">
        <v>89</v>
      </c>
      <c r="B30" s="9"/>
      <c r="C30" s="9"/>
      <c r="D30" s="9"/>
      <c r="E30" s="9"/>
      <c r="F30" s="79">
        <f>F13*1499.47 +(1-F13)*999.65</f>
        <v>1169.5888</v>
      </c>
      <c r="G30" s="1"/>
      <c r="H30" s="3" t="s">
        <v>80</v>
      </c>
      <c r="I30" s="122"/>
      <c r="J30" s="118"/>
      <c r="K30" s="64" t="s">
        <v>71</v>
      </c>
      <c r="L30" s="64" t="s">
        <v>72</v>
      </c>
      <c r="M30" s="64" t="s">
        <v>73</v>
      </c>
      <c r="N30" s="64" t="s">
        <v>74</v>
      </c>
      <c r="O30" s="19"/>
      <c r="P30" s="19"/>
    </row>
    <row r="31" spans="1:16" x14ac:dyDescent="0.25">
      <c r="A31" s="1"/>
      <c r="B31" s="1"/>
      <c r="C31" s="1"/>
      <c r="D31" s="1"/>
      <c r="E31" s="1"/>
      <c r="F31" s="81"/>
      <c r="G31" s="1"/>
      <c r="H31" s="1"/>
      <c r="I31" s="14"/>
      <c r="J31" s="64" t="s">
        <v>70</v>
      </c>
      <c r="K31" s="64">
        <v>19</v>
      </c>
      <c r="L31" s="64">
        <v>20</v>
      </c>
      <c r="M31" s="64">
        <v>21</v>
      </c>
      <c r="N31" s="64">
        <v>22</v>
      </c>
      <c r="O31" s="119"/>
      <c r="P31" s="19"/>
    </row>
    <row r="32" spans="1:16" ht="15.6" x14ac:dyDescent="0.3">
      <c r="A32" s="1"/>
      <c r="B32" s="14"/>
      <c r="C32" s="14"/>
      <c r="D32" s="14"/>
      <c r="E32" s="7" t="s">
        <v>81</v>
      </c>
      <c r="F32" s="80">
        <f>1-(F29/F30)</f>
        <v>0.39361427194577803</v>
      </c>
      <c r="G32" s="1"/>
      <c r="H32" s="3" t="s">
        <v>82</v>
      </c>
      <c r="I32" s="3"/>
      <c r="J32" s="64">
        <v>19</v>
      </c>
      <c r="K32" s="120">
        <f>+($F$19/$F$15)*($F$13*10*$G$19/$F$11)^0.5</f>
        <v>2036.060195573795</v>
      </c>
      <c r="L32" s="120">
        <f>+(($F$19*$G$19+$F$20*$G$20)/IF($G$19+$G$20,$G$19+$G$20,1)/$F$15)*($F$13*10*SUM($G$19:$G$20)/$F$11)^0.5</f>
        <v>2879.4239423884774</v>
      </c>
      <c r="M32" s="120">
        <f>+(($F$19*$G$19+$F$20*$G$20+$F$21*$G$21)/IF($G$19+$G$20+$G$21,$G$19+$G$20+$G$21,1)/$F$15)*($F$13*10*SUM($G$19:$G$21)/$F$11)^0.5</f>
        <v>2879.4239423884774</v>
      </c>
      <c r="N32" s="120">
        <f>+(($F$19*$G$19+$F$20*$G$20+$F$21*$G$21+$F$22*$G$22)/IF(SUM($G$19:$G$22),SUM($G$19:$G$22),1)/$F$15)*($F$13*10*SUM($G$19:$G$22)/$F$11)^0.5</f>
        <v>2879.4239423884774</v>
      </c>
      <c r="O32" s="119"/>
      <c r="P32" s="19"/>
    </row>
    <row r="33" spans="1:16" ht="15.6" x14ac:dyDescent="0.3">
      <c r="A33" s="1"/>
      <c r="B33" s="1"/>
      <c r="C33" s="1"/>
      <c r="D33" s="1"/>
      <c r="E33" s="1"/>
      <c r="F33" s="82"/>
      <c r="G33" s="1"/>
      <c r="H33" s="1"/>
      <c r="I33" s="14"/>
      <c r="J33" s="64">
        <v>20</v>
      </c>
      <c r="K33" s="120"/>
      <c r="L33" s="120">
        <f>+($F$20/$F$15)*($F$13*10*$G$20/$F$11)^0.5</f>
        <v>2036.060195573795</v>
      </c>
      <c r="M33" s="120">
        <f>+(($F$20*$G$20+$F$21*$G$21)/IF($G$20+$G$21,$G$20+$G$21,1)/$F$15)*($F$13*10*SUM($G$20:$G$21)/$F$11)^0.5</f>
        <v>2036.060195573795</v>
      </c>
      <c r="N33" s="120">
        <f>+(($F$20*$G$20+$F$21*$G$21+$F$22*$G$22)/IF(SUM($G$20:$G$22),SUM($G$20:$G$22),1)/$F$15)*($F$13*10*SUM($G$20:$G$22)/$F$11)^0.5</f>
        <v>2036.060195573795</v>
      </c>
      <c r="O33" s="119"/>
      <c r="P33" s="19"/>
    </row>
    <row r="34" spans="1:16" ht="15.6" x14ac:dyDescent="0.3">
      <c r="A34" s="1"/>
      <c r="B34" s="1"/>
      <c r="C34" s="1"/>
      <c r="D34" s="1"/>
      <c r="E34" s="1"/>
      <c r="F34" s="81"/>
      <c r="G34" s="1"/>
      <c r="H34" s="1"/>
      <c r="I34" s="14"/>
      <c r="J34" s="64">
        <v>21</v>
      </c>
      <c r="K34" s="120">
        <f>+(($F$19*$G$19+$F$21*$G21)/IF($G$19+$G21,$G$19+$G21,1)/$F$15)*($F$13*10*SUM($G$19,$G21)/$F$11)^0.5</f>
        <v>2036.060195573795</v>
      </c>
      <c r="L34" s="120"/>
      <c r="M34" s="120">
        <f>+($F$21/$F$15)*(($F$13*10*$G$21)/$F$11)^0.5</f>
        <v>0</v>
      </c>
      <c r="N34" s="120">
        <f>+(($F$21*$G$21+$F$22*$G$22)/IF($G$21+$G$22,$G$21+$G$22,1)/$F$15)*($F$13*10*SUM($G$21:$G$22)/$F$11)^0.5</f>
        <v>0</v>
      </c>
      <c r="O34" s="119"/>
      <c r="P34" s="19"/>
    </row>
    <row r="35" spans="1:16" ht="15.6" x14ac:dyDescent="0.3">
      <c r="A35" s="7" t="s">
        <v>38</v>
      </c>
      <c r="B35" s="7"/>
      <c r="C35" s="7"/>
      <c r="D35" s="7"/>
      <c r="E35" s="7"/>
      <c r="F35" s="79">
        <f>+IF(F36&lt;J37,F36,J37)</f>
        <v>241.13546504410172</v>
      </c>
      <c r="G35" s="1"/>
      <c r="H35" s="3" t="s">
        <v>86</v>
      </c>
      <c r="I35" s="3"/>
      <c r="J35" s="64">
        <v>22</v>
      </c>
      <c r="K35" s="120">
        <f>+(($F$19*$G$19+$F$22*$G$22)/IF($G$19+$G$22,$G$19+$G$22,1)/$F$15)*($F$13*10*SUM($G$19,$G$22)/$F$11)^0.5</f>
        <v>2036.060195573795</v>
      </c>
      <c r="L35" s="120">
        <f>+(($F$20*$G$20+$F$22*$G$22)/IF($G$20+$G$22,$G$20+$G$22,1)/$F$15)*($F$13*10*SUM($G$20,$G$22)/$F$11)^0.5</f>
        <v>2036.060195573795</v>
      </c>
      <c r="M35" s="120">
        <f>+(($F$19*$G$19+$F$21*$G$21+$F$22*$G$22)/IF($G$19+$G$21+$G$22,$G$19+$G$21+$G$22,1)/$F$15)*($F$13*10*SUM($G$19,$G$21:$G$22)/$F$11)^0.5</f>
        <v>2036.060195573795</v>
      </c>
      <c r="N35" s="120">
        <f>+($F$22/$F$15)*($F$13*10*$G$22/$F$11)^0.5</f>
        <v>0</v>
      </c>
      <c r="O35" s="119"/>
      <c r="P35" s="19"/>
    </row>
    <row r="36" spans="1:16" ht="15.6" x14ac:dyDescent="0.3">
      <c r="A36" s="7" t="s">
        <v>50</v>
      </c>
      <c r="B36" s="9"/>
      <c r="C36" s="9"/>
      <c r="D36" s="9"/>
      <c r="E36" s="9"/>
      <c r="F36" s="79">
        <f>+F13*(F13*1500 + (1-F13)*1000)</f>
        <v>397.8</v>
      </c>
      <c r="G36" s="1"/>
      <c r="H36" s="3" t="s">
        <v>83</v>
      </c>
      <c r="I36" s="123"/>
      <c r="J36" s="119"/>
      <c r="K36" s="119"/>
      <c r="L36" s="119"/>
      <c r="M36" s="119"/>
      <c r="N36" s="119"/>
      <c r="O36" s="119"/>
      <c r="P36" s="19"/>
    </row>
    <row r="37" spans="1:16" ht="15.6" x14ac:dyDescent="0.3">
      <c r="A37" s="8" t="str">
        <f>+IF(F35=F36,"Estimated DM Density controlled by Maximum Achievable Density","")</f>
        <v/>
      </c>
      <c r="B37" s="1"/>
      <c r="C37" s="1"/>
      <c r="D37" s="1"/>
      <c r="E37" s="1"/>
      <c r="F37" s="1"/>
      <c r="G37" s="1"/>
      <c r="H37" s="1"/>
      <c r="I37" s="19"/>
      <c r="J37" s="121">
        <f>(+F28*0.042 + 136.3)*(0.818+0.0446*F24)</f>
        <v>241.13546504410172</v>
      </c>
      <c r="K37" s="119"/>
      <c r="L37" s="119"/>
      <c r="M37" s="119"/>
      <c r="N37" s="119"/>
      <c r="O37" s="119"/>
      <c r="P37" s="19"/>
    </row>
    <row r="38" spans="1:16" x14ac:dyDescent="0.25">
      <c r="G38" s="1"/>
      <c r="H38" s="1"/>
      <c r="I38" s="19"/>
      <c r="J38" s="19"/>
      <c r="K38" s="19"/>
      <c r="L38" s="19"/>
      <c r="M38" s="19"/>
      <c r="N38" s="19"/>
      <c r="O38" s="19"/>
      <c r="P38" s="19"/>
    </row>
  </sheetData>
  <sheetProtection sheet="1" objects="1" scenarios="1"/>
  <phoneticPr fontId="0" type="noConversion"/>
  <conditionalFormatting sqref="F4">
    <cfRule type="expression" dxfId="3" priority="1" stopIfTrue="1">
      <formula>OR(F1="n", F1="no")</formula>
    </cfRule>
  </conditionalFormatting>
  <conditionalFormatting sqref="F3">
    <cfRule type="expression" dxfId="2" priority="2" stopIfTrue="1">
      <formula>F1="Yes"</formula>
    </cfRule>
  </conditionalFormatting>
  <dataValidations count="1">
    <dataValidation type="list" allowBlank="1" showInputMessage="1" showErrorMessage="1" error="Click the Arrow to get a choice of Yes or No" prompt="Click on Arrow for choices" sqref="F1">
      <formula1>"No, Yes"</formula1>
    </dataValidation>
  </dataValidation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opLeftCell="B1" zoomScale="75" workbookViewId="0">
      <selection activeCell="I5" sqref="I5"/>
    </sheetView>
  </sheetViews>
  <sheetFormatPr defaultColWidth="9.109375" defaultRowHeight="14.4" x14ac:dyDescent="0.35"/>
  <cols>
    <col min="1" max="1" width="11.6640625" style="44" bestFit="1" customWidth="1"/>
    <col min="2" max="2" width="92.44140625" style="44" customWidth="1"/>
    <col min="3" max="3" width="9.109375" style="21" bestFit="1"/>
    <col min="4" max="4" width="13.109375" style="20" customWidth="1"/>
    <col min="5" max="6" width="10.6640625" style="20" customWidth="1"/>
    <col min="7" max="7" width="7.44140625" style="20" customWidth="1"/>
    <col min="8" max="9" width="9.88671875" style="20" bestFit="1" customWidth="1"/>
    <col min="10" max="10" width="9.109375" style="20"/>
    <col min="11" max="11" width="14.33203125" style="20" customWidth="1"/>
    <col min="12" max="12" width="15.5546875" style="20" customWidth="1"/>
    <col min="13" max="16384" width="9.109375" style="20"/>
  </cols>
  <sheetData>
    <row r="1" spans="1:19" ht="18" x14ac:dyDescent="0.35">
      <c r="A1" s="141" t="s">
        <v>61</v>
      </c>
      <c r="B1" s="141"/>
      <c r="C1" s="141"/>
      <c r="D1" s="141"/>
      <c r="E1" s="141"/>
      <c r="F1" s="141"/>
      <c r="G1" s="141"/>
      <c r="H1" s="141"/>
    </row>
    <row r="2" spans="1:19" ht="18" x14ac:dyDescent="0.35">
      <c r="A2" s="142" t="s">
        <v>15</v>
      </c>
      <c r="B2" s="143"/>
      <c r="C2" s="143"/>
      <c r="D2" s="143"/>
      <c r="E2" s="143"/>
      <c r="F2" s="143"/>
      <c r="G2" s="143"/>
      <c r="H2" s="143"/>
    </row>
    <row r="3" spans="1:19" ht="18" x14ac:dyDescent="0.35">
      <c r="A3" s="142" t="s">
        <v>67</v>
      </c>
      <c r="B3" s="143"/>
      <c r="C3" s="143"/>
      <c r="D3" s="143"/>
      <c r="E3" s="143"/>
      <c r="F3" s="143"/>
      <c r="G3" s="143"/>
      <c r="H3" s="143"/>
    </row>
    <row r="4" spans="1:19" ht="16.2" x14ac:dyDescent="0.35">
      <c r="A4" s="143" t="s">
        <v>90</v>
      </c>
      <c r="B4" s="143"/>
      <c r="C4" s="143"/>
      <c r="D4" s="143"/>
      <c r="E4" s="143"/>
      <c r="F4" s="143"/>
      <c r="G4" s="143"/>
      <c r="H4" s="143"/>
    </row>
    <row r="5" spans="1:19" ht="15" thickBot="1" x14ac:dyDescent="0.4">
      <c r="A5" s="144"/>
      <c r="B5" s="144"/>
      <c r="C5" s="144"/>
      <c r="D5" s="144"/>
      <c r="E5" s="144"/>
      <c r="F5" s="144"/>
      <c r="G5" s="144"/>
      <c r="H5" s="144"/>
    </row>
    <row r="6" spans="1:19" ht="18.600000000000001" thickBot="1" x14ac:dyDescent="0.4">
      <c r="C6" s="139" t="s">
        <v>1</v>
      </c>
      <c r="D6" s="140"/>
      <c r="G6" s="47"/>
      <c r="L6" s="70">
        <f>+C11</f>
        <v>33</v>
      </c>
    </row>
    <row r="7" spans="1:19" ht="15" thickBot="1" x14ac:dyDescent="0.4">
      <c r="A7" s="99" t="s">
        <v>2</v>
      </c>
      <c r="B7" s="89" t="s">
        <v>69</v>
      </c>
      <c r="C7" s="53" t="s">
        <v>56</v>
      </c>
      <c r="D7" s="74">
        <v>2</v>
      </c>
      <c r="E7" s="57"/>
    </row>
    <row r="8" spans="1:19" ht="16.2" x14ac:dyDescent="0.35">
      <c r="A8" s="20"/>
      <c r="B8" s="89" t="str">
        <f>+IF(C7="No","Ancho de la Base (metros ) ="," ")</f>
        <v>Ancho de la Base (metros ) =</v>
      </c>
      <c r="C8" s="107">
        <v>53</v>
      </c>
      <c r="D8" s="26"/>
      <c r="E8" s="22"/>
      <c r="G8" s="26"/>
    </row>
    <row r="9" spans="1:19" ht="16.8" thickBot="1" x14ac:dyDescent="0.4">
      <c r="A9" s="20"/>
      <c r="B9" s="90" t="s">
        <v>62</v>
      </c>
      <c r="C9" s="108">
        <v>3.3</v>
      </c>
      <c r="G9" s="26"/>
    </row>
    <row r="10" spans="1:19" ht="18.600000000000001" thickBot="1" x14ac:dyDescent="0.4">
      <c r="A10" s="99" t="s">
        <v>66</v>
      </c>
      <c r="B10" s="90" t="s">
        <v>68</v>
      </c>
      <c r="C10" s="113">
        <f>+IF(C7="No",H22,D7)</f>
        <v>3.0303030303030303</v>
      </c>
      <c r="H10" s="68">
        <f>+C9</f>
        <v>3.3</v>
      </c>
    </row>
    <row r="11" spans="1:19" ht="16.2" x14ac:dyDescent="0.35">
      <c r="B11" s="90" t="s">
        <v>93</v>
      </c>
      <c r="C11" s="109">
        <v>33</v>
      </c>
      <c r="H11" s="25"/>
    </row>
    <row r="12" spans="1:19" ht="16.2" x14ac:dyDescent="0.35">
      <c r="B12" s="89" t="s">
        <v>63</v>
      </c>
      <c r="C12" s="110">
        <v>120</v>
      </c>
      <c r="D12" s="22" t="s">
        <v>3</v>
      </c>
      <c r="G12" s="32"/>
      <c r="H12" s="25"/>
    </row>
    <row r="13" spans="1:19" ht="16.2" x14ac:dyDescent="0.35">
      <c r="B13" s="89" t="s">
        <v>64</v>
      </c>
      <c r="C13" s="111">
        <v>0.34</v>
      </c>
      <c r="D13" s="22" t="s">
        <v>4</v>
      </c>
      <c r="G13" s="55" t="str">
        <f>IF(C13&gt;1,"C13 debe ser menor a 1"," ")</f>
        <v xml:space="preserve"> </v>
      </c>
      <c r="H13" s="25"/>
    </row>
    <row r="14" spans="1:19" s="26" customFormat="1" ht="18.600000000000001" thickBot="1" x14ac:dyDescent="0.4">
      <c r="A14" s="44"/>
      <c r="B14" s="89" t="s">
        <v>65</v>
      </c>
      <c r="C14" s="112">
        <v>15</v>
      </c>
      <c r="D14" s="22" t="s">
        <v>5</v>
      </c>
      <c r="E14" s="20"/>
      <c r="F14" s="30"/>
      <c r="G14" s="55" t="str">
        <f>IF(C14&gt;60,"Considere lograr una capa mas delgada", " ")</f>
        <v xml:space="preserve"> </v>
      </c>
      <c r="H14" s="31"/>
      <c r="I14" s="20"/>
      <c r="J14" s="20"/>
      <c r="K14" s="20"/>
      <c r="L14" s="20"/>
      <c r="M14" s="20"/>
      <c r="N14" s="20"/>
      <c r="O14" s="69">
        <f>+C10</f>
        <v>3.0303030303030303</v>
      </c>
      <c r="P14" s="20"/>
      <c r="Q14" s="20"/>
      <c r="R14" s="20"/>
      <c r="S14" s="20"/>
    </row>
    <row r="15" spans="1:19" ht="29.4" thickBot="1" x14ac:dyDescent="0.4">
      <c r="A15" s="99" t="s">
        <v>6</v>
      </c>
      <c r="B15" s="89" t="s">
        <v>96</v>
      </c>
      <c r="C15" s="23" t="s">
        <v>7</v>
      </c>
      <c r="D15" s="24" t="s">
        <v>8</v>
      </c>
      <c r="F15" s="32"/>
      <c r="G15" s="32"/>
      <c r="H15" s="25"/>
    </row>
    <row r="16" spans="1:19" ht="18" x14ac:dyDescent="0.35">
      <c r="B16" s="89" t="s">
        <v>22</v>
      </c>
      <c r="C16" s="101">
        <v>18144</v>
      </c>
      <c r="D16" s="102">
        <v>100</v>
      </c>
      <c r="E16" s="86">
        <f>IF(C16&gt;0,D16,0)</f>
        <v>100</v>
      </c>
      <c r="F16" s="32"/>
      <c r="G16" s="56" t="str">
        <f>IF(AND(C16&gt;0,D16&lt;1), "Error en celda C16 ó D16", IF(AND(C16&lt;1,D16&gt;0),"Error en celda C16 ó D16"," "))</f>
        <v xml:space="preserve"> </v>
      </c>
      <c r="H16" s="87"/>
      <c r="I16" s="32"/>
      <c r="J16" s="32"/>
      <c r="K16" s="32"/>
      <c r="L16" s="61">
        <f>+IF(C7="No", C8,(C11+2*C10*C9))</f>
        <v>53</v>
      </c>
      <c r="M16" s="32"/>
      <c r="N16" s="32"/>
    </row>
    <row r="17" spans="1:19" ht="16.2" x14ac:dyDescent="0.35">
      <c r="B17" s="89" t="s">
        <v>23</v>
      </c>
      <c r="C17" s="103">
        <v>18144</v>
      </c>
      <c r="D17" s="104">
        <v>100</v>
      </c>
      <c r="E17" s="86">
        <f>IF(C17&gt;0,D17,0)</f>
        <v>100</v>
      </c>
      <c r="F17" s="32"/>
      <c r="G17" s="56" t="str">
        <f>IF(AND(C17&gt;0,D17&lt;1), "Error en celda C17 ó D17", IF(AND(C17&lt;1,D17&gt;0),"Error en celda C17 ó D17"," "))</f>
        <v xml:space="preserve"> </v>
      </c>
      <c r="H17" s="32"/>
      <c r="I17" s="32"/>
      <c r="J17" s="32"/>
      <c r="K17" s="32"/>
      <c r="L17" s="32"/>
      <c r="M17" s="32"/>
      <c r="N17" s="32"/>
    </row>
    <row r="18" spans="1:19" ht="16.2" x14ac:dyDescent="0.35">
      <c r="B18" s="89" t="s">
        <v>24</v>
      </c>
      <c r="C18" s="103">
        <v>0</v>
      </c>
      <c r="D18" s="104">
        <v>0</v>
      </c>
      <c r="E18" s="86">
        <f>IF(C18&gt;0,D18,0)</f>
        <v>0</v>
      </c>
      <c r="F18" s="32"/>
      <c r="G18" s="56" t="str">
        <f>IF(AND(C18&gt;0,D18&lt;1), "Error en celda C18 ó D18", IF(AND(C18&lt;1,D18&gt;0),"Error en celda C18 ó D18"," "))</f>
        <v xml:space="preserve"> </v>
      </c>
      <c r="H18" s="32"/>
      <c r="I18" s="32"/>
      <c r="J18" s="32"/>
      <c r="K18" s="32"/>
      <c r="L18" s="32"/>
      <c r="M18" s="32"/>
      <c r="N18" s="32"/>
    </row>
    <row r="19" spans="1:19" ht="16.8" thickBot="1" x14ac:dyDescent="0.4">
      <c r="B19" s="89" t="s">
        <v>25</v>
      </c>
      <c r="C19" s="105">
        <v>0</v>
      </c>
      <c r="D19" s="106">
        <v>0</v>
      </c>
      <c r="E19" s="86">
        <f>IF(C19&gt;0,D19,0)</f>
        <v>0</v>
      </c>
      <c r="F19" s="32"/>
      <c r="G19" s="56" t="str">
        <f>IF(AND(C19&gt;0,D19&lt;1), "Error en celda C19 ó D19", IF(AND(C19&lt;1,D19&gt;0),"Error en celda C19 ó D19"," "))</f>
        <v xml:space="preserve"> </v>
      </c>
      <c r="H19" s="32"/>
      <c r="I19" s="32"/>
      <c r="J19" s="32"/>
      <c r="K19" s="32"/>
      <c r="L19" s="32"/>
      <c r="M19" s="32"/>
      <c r="N19" s="32"/>
    </row>
    <row r="20" spans="1:19" ht="15" thickBot="1" x14ac:dyDescent="0.4">
      <c r="A20" s="45"/>
      <c r="B20" s="91"/>
      <c r="C20" s="27"/>
      <c r="D20" s="28"/>
      <c r="E20" s="29"/>
      <c r="F20" s="32"/>
      <c r="G20" s="32"/>
      <c r="H20" s="32"/>
      <c r="I20" s="32"/>
      <c r="J20" s="32"/>
      <c r="K20" s="32"/>
      <c r="L20" s="32"/>
      <c r="M20" s="32"/>
      <c r="N20" s="32"/>
    </row>
    <row r="21" spans="1:19" x14ac:dyDescent="0.35">
      <c r="A21" s="98" t="s">
        <v>9</v>
      </c>
      <c r="B21" s="89" t="s">
        <v>10</v>
      </c>
      <c r="C21" s="54">
        <f>+C16*D16/100+C17*D17/100+C18*D18/100+C19*D19/100</f>
        <v>36288</v>
      </c>
      <c r="D21" s="57"/>
      <c r="E21" s="57"/>
      <c r="F21" s="32"/>
      <c r="G21" s="32"/>
      <c r="H21" s="32"/>
      <c r="I21" s="32"/>
      <c r="J21" s="32"/>
      <c r="K21" s="32"/>
      <c r="L21" s="32"/>
      <c r="M21" s="32"/>
      <c r="N21" s="32"/>
    </row>
    <row r="22" spans="1:19" ht="15" thickBot="1" x14ac:dyDescent="0.4">
      <c r="A22" s="97" t="s">
        <v>11</v>
      </c>
      <c r="B22" s="89" t="s">
        <v>12</v>
      </c>
      <c r="C22" s="100">
        <f>+C9*(C11+C9*C10)/(C11+2*C9*C10)</f>
        <v>2.6773584905660379</v>
      </c>
      <c r="D22" s="32"/>
      <c r="E22" s="57"/>
      <c r="F22" s="32"/>
      <c r="G22" s="32"/>
      <c r="H22" s="88">
        <f>+(C8-C11)/2/C9</f>
        <v>3.0303030303030303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15" thickBot="1" x14ac:dyDescent="0.4">
      <c r="B23" s="92"/>
      <c r="C23" s="33"/>
      <c r="D23" s="57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9" ht="15" thickBot="1" x14ac:dyDescent="0.4">
      <c r="A24" s="46" t="s">
        <v>13</v>
      </c>
      <c r="B24" s="93" t="s">
        <v>14</v>
      </c>
      <c r="C24" s="48">
        <f>+MAX(K30:N33)</f>
        <v>2879.4239423884774</v>
      </c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spans="1:19" ht="18.600000000000001" x14ac:dyDescent="0.35">
      <c r="B25" s="94" t="s">
        <v>97</v>
      </c>
      <c r="C25" s="79">
        <f>C30/C13</f>
        <v>709.22195601206386</v>
      </c>
      <c r="D25" s="95" t="s">
        <v>100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9" ht="16.2" x14ac:dyDescent="0.35">
      <c r="B26" s="94" t="s">
        <v>98</v>
      </c>
      <c r="C26" s="79">
        <f>C13*1499.47 +(1-C13)*999.65</f>
        <v>1169.5888</v>
      </c>
      <c r="D26" s="95" t="s">
        <v>101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9" x14ac:dyDescent="0.35">
      <c r="B27" s="1"/>
      <c r="C27" s="1"/>
      <c r="D27" s="1"/>
      <c r="E27" s="32"/>
      <c r="F27" s="32"/>
      <c r="G27" s="32"/>
      <c r="H27" s="32"/>
      <c r="I27" s="32"/>
      <c r="J27" s="32"/>
      <c r="K27" s="32"/>
      <c r="L27" s="32"/>
      <c r="M27" s="32"/>
      <c r="N27" s="32"/>
    </row>
    <row r="28" spans="1:19" ht="16.2" x14ac:dyDescent="0.35">
      <c r="B28" s="94" t="s">
        <v>99</v>
      </c>
      <c r="C28" s="80">
        <f>1-(C25/C26)</f>
        <v>0.39361427194577803</v>
      </c>
      <c r="D28" s="96" t="s">
        <v>102</v>
      </c>
      <c r="E28" s="32"/>
      <c r="F28" s="32"/>
      <c r="G28" s="32"/>
      <c r="H28" s="32"/>
      <c r="I28" s="32"/>
      <c r="J28" s="71"/>
      <c r="K28" s="64" t="s">
        <v>71</v>
      </c>
      <c r="L28" s="64" t="s">
        <v>72</v>
      </c>
      <c r="M28" s="64" t="s">
        <v>73</v>
      </c>
      <c r="N28" s="64" t="s">
        <v>74</v>
      </c>
    </row>
    <row r="29" spans="1:19" x14ac:dyDescent="0.35">
      <c r="E29" s="32"/>
      <c r="F29" s="32"/>
      <c r="G29" s="32"/>
      <c r="H29" s="32"/>
      <c r="I29" s="32"/>
      <c r="J29" s="72" t="s">
        <v>70</v>
      </c>
      <c r="K29" s="73">
        <v>16</v>
      </c>
      <c r="L29" s="73">
        <v>17</v>
      </c>
      <c r="M29" s="73">
        <v>18</v>
      </c>
      <c r="N29" s="73">
        <v>19</v>
      </c>
    </row>
    <row r="30" spans="1:19" ht="16.8" x14ac:dyDescent="0.35">
      <c r="B30" s="93" t="s">
        <v>94</v>
      </c>
      <c r="C30" s="114">
        <f>+IF(C31&lt;J37,C31,J37)</f>
        <v>241.13546504410172</v>
      </c>
      <c r="D30" s="34" t="s">
        <v>91</v>
      </c>
      <c r="E30" s="32"/>
      <c r="F30" s="32"/>
      <c r="G30" s="32"/>
      <c r="H30" s="32"/>
      <c r="I30" s="32"/>
      <c r="J30" s="73">
        <v>16</v>
      </c>
      <c r="K30" s="73">
        <f>+($C$16/$C$14)*($C$13*10*$E$16/$C$12)^0.5</f>
        <v>2036.060195573795</v>
      </c>
      <c r="L30" s="73">
        <f>+(($C$16*$E$16+$C$17*$E$17)/IF($E$16+$E$17,$E$16+$E$17,1)/$C$14)*($C$13*10*SUM($E$16:$E$17)/$C$12)^0.5</f>
        <v>2879.4239423884774</v>
      </c>
      <c r="M30" s="73">
        <f>+(($C$16*$E$16+$C$17*$E$17+$C$18*$E$18)/IF($E$16+$E$17+$E$18,$E$16+$E$17+$E$18,1)/$C$14)*($C$13*10*SUM($E$16:$E$18)/$C$12)^0.5</f>
        <v>2879.4239423884774</v>
      </c>
      <c r="N30" s="73">
        <f>+(($C$16*$E$16+$C$17*$E$17+$C$18*$E$18+$C$19*$E$19)/IF(SUM($E$16:$E$19),SUM($E$16:$E$19),1)/$C$14)*($C$13*10*SUM($E$16:$E$19)/$C$12)^0.5</f>
        <v>2879.4239423884774</v>
      </c>
    </row>
    <row r="31" spans="1:19" ht="16.8" x14ac:dyDescent="0.35">
      <c r="B31" s="93" t="s">
        <v>95</v>
      </c>
      <c r="C31" s="115">
        <f>C13*(C13*1500 + (1-C13)*1000)</f>
        <v>397.8</v>
      </c>
      <c r="D31" s="34" t="s">
        <v>92</v>
      </c>
      <c r="E31" s="32"/>
      <c r="F31" s="32"/>
      <c r="G31" s="32"/>
      <c r="H31" s="32"/>
      <c r="I31" s="32"/>
      <c r="J31" s="73">
        <v>17</v>
      </c>
      <c r="K31" s="73"/>
      <c r="L31" s="73">
        <f>+($C$17/$C$14)*($C$13*10*$E$17/$C$12)^0.5</f>
        <v>2036.060195573795</v>
      </c>
      <c r="M31" s="73">
        <f>+(($C$17*$E$17+$C$18*$E$18)/IF($E$17+$E$18,$E$17+$E$18,1)/$C$14)*($C$13*10*SUM($E$17:$E$18)/$C$12)^0.5</f>
        <v>2036.060195573795</v>
      </c>
      <c r="N31" s="73">
        <f>+(($C$17*$E$17+$C$18*$E$18+$C$19*$E$19)/IF(SUM($E$17:$E$19),SUM($E$17:$E$19),1)/$C$14)*($C$13*10*SUM($E$17:$E$19)/$C$12)^0.5</f>
        <v>2036.060195573795</v>
      </c>
    </row>
    <row r="32" spans="1:19" x14ac:dyDescent="0.35">
      <c r="E32" s="32"/>
      <c r="F32" s="32"/>
      <c r="G32" s="32"/>
      <c r="H32" s="32"/>
      <c r="I32" s="32"/>
      <c r="J32" s="73">
        <v>18</v>
      </c>
      <c r="K32" s="73">
        <f>+(($C$16*$E$16+$C$18*$E18)/IF($E$16+$E18,$E$16+$E18,1)/$C$14)*($C$13*10*SUM($E$16,$E18)/$C$12)^0.5</f>
        <v>2036.060195573795</v>
      </c>
      <c r="L32" s="73"/>
      <c r="M32" s="73">
        <f>+($C$18/$C$14)*(($C$13*10*$E$18)/$C$12)^0.5</f>
        <v>0</v>
      </c>
      <c r="N32" s="73">
        <f>+(($C$18*$E$18+$C$19*$E$19)/IF($E$18+$E$19,$E$18+$E$19,1)/$C$14)*($C$13*10*SUM($E$18:$E$19)/$C$12)^0.5</f>
        <v>0</v>
      </c>
    </row>
    <row r="33" spans="3:14" x14ac:dyDescent="0.35">
      <c r="E33" s="32"/>
      <c r="F33" s="32"/>
      <c r="G33" s="32"/>
      <c r="H33" s="32"/>
      <c r="I33" s="32"/>
      <c r="J33" s="73">
        <v>19</v>
      </c>
      <c r="K33" s="73">
        <f>+(($C$16*$E$16+$C$19*$E$19)/IF($E$16+$E$19,$E$16+$E$19,1)/$C$14)*($C$13*10*SUM($E$16,$E$19)/$C$12)^0.5</f>
        <v>2036.060195573795</v>
      </c>
      <c r="L33" s="73">
        <f>+(($C$17*$E$17+$C$19*$E$19)/IF($E$17+$E$19,$E$17+$E$19,1)/$C$14)*($C$13*10*SUM($E$17,$E$19)/$C$12)^0.5</f>
        <v>2036.060195573795</v>
      </c>
      <c r="M33" s="73">
        <f>+(($C$16*$E$16+$C$18*$E$18+$C$19*$E$19)/IF($E$16+$E$18+$E$19,$E$16+$E$18+$E$19,1)/$C$14)*($C$13*10*SUM($E$16,$E$18:$E$19)/$C$12)^0.5</f>
        <v>2036.060195573795</v>
      </c>
      <c r="N33" s="73">
        <f>+($C$19/$C$14)*($C$13*10*$E$19/$C$12)^0.5</f>
        <v>0</v>
      </c>
    </row>
    <row r="34" spans="3:14" x14ac:dyDescent="0.35">
      <c r="C34" s="83"/>
      <c r="D34" s="84"/>
      <c r="E34" s="84"/>
      <c r="F34" s="84"/>
      <c r="G34" s="84"/>
      <c r="H34" s="32"/>
      <c r="I34" s="32"/>
      <c r="J34" s="32"/>
      <c r="K34" s="32"/>
      <c r="L34" s="32"/>
      <c r="M34" s="32"/>
      <c r="N34" s="32"/>
    </row>
    <row r="35" spans="3:14" x14ac:dyDescent="0.35">
      <c r="C35" s="83"/>
      <c r="D35" s="84"/>
      <c r="E35" s="84"/>
      <c r="F35" s="84"/>
      <c r="G35" s="84"/>
      <c r="H35" s="32"/>
      <c r="I35" s="32"/>
      <c r="J35" s="32"/>
      <c r="K35" s="32"/>
      <c r="L35" s="32"/>
      <c r="M35" s="32"/>
      <c r="N35" s="32"/>
    </row>
    <row r="36" spans="3:14" x14ac:dyDescent="0.35">
      <c r="C36" s="8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</row>
    <row r="37" spans="3:14" x14ac:dyDescent="0.35">
      <c r="C37" s="85"/>
      <c r="D37" s="32"/>
      <c r="E37" s="32"/>
      <c r="F37" s="32"/>
      <c r="G37" s="32"/>
      <c r="H37" s="32"/>
      <c r="I37" s="32"/>
      <c r="J37" s="35">
        <f>(C24*0.042+136.3)*(0.818+0.0446*C22)</f>
        <v>241.13546504410172</v>
      </c>
      <c r="K37" s="32"/>
      <c r="L37" s="32"/>
      <c r="M37" s="32"/>
      <c r="N37" s="32"/>
    </row>
  </sheetData>
  <sheetProtection sheet="1" objects="1" scenarios="1"/>
  <mergeCells count="6">
    <mergeCell ref="C6:D6"/>
    <mergeCell ref="A1:H1"/>
    <mergeCell ref="A2:H2"/>
    <mergeCell ref="A3:H3"/>
    <mergeCell ref="A5:H5"/>
    <mergeCell ref="A4:H4"/>
  </mergeCells>
  <phoneticPr fontId="0" type="noConversion"/>
  <conditionalFormatting sqref="D7">
    <cfRule type="expression" dxfId="1" priority="1" stopIfTrue="1">
      <formula>OR(C7="n", C7="no")</formula>
    </cfRule>
  </conditionalFormatting>
  <conditionalFormatting sqref="C8:C9">
    <cfRule type="expression" dxfId="0" priority="2" stopIfTrue="1">
      <formula>C7="Si"</formula>
    </cfRule>
  </conditionalFormatting>
  <dataValidations disablePrompts="1" xWindow="1044" yWindow="378" count="1">
    <dataValidation type="list" allowBlank="1" showInputMessage="1" showErrorMessage="1" error="Haga clic en la flecha para 'Si' o 'No'" prompt="Haga clic en la flecha para opciones" sqref="C7">
      <formula1>"Si, No"</formula1>
    </dataValidation>
  </dataValidations>
  <printOptions horizontalCentered="1"/>
  <pageMargins left="0.25" right="0.25" top="0.5" bottom="0.25" header="0.5" footer="0.5"/>
  <pageSetup scale="86" orientation="landscape" horizontalDpi="204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English Units</vt:lpstr>
      <vt:lpstr>Espanol</vt:lpstr>
      <vt:lpstr>Metric Units</vt:lpstr>
      <vt:lpstr>Español - (unidades métricas)</vt:lpstr>
    </vt:vector>
  </TitlesOfParts>
  <Company>Biological Systems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Silage Density in Bunker Silo</dc:title>
  <dc:creator>Brian J. Holmes</dc:creator>
  <cp:lastModifiedBy>Jason Lawler</cp:lastModifiedBy>
  <cp:lastPrinted>2006-02-01T02:50:26Z</cp:lastPrinted>
  <dcterms:created xsi:type="dcterms:W3CDTF">1999-04-02T15:53:20Z</dcterms:created>
  <dcterms:modified xsi:type="dcterms:W3CDTF">2024-01-24T22:57:01Z</dcterms:modified>
</cp:coreProperties>
</file>